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Santi Y David\Desktop\AYA Ultima 221020\ARCHIVO Y ALMACENAMIENTO\"/>
    </mc:Choice>
  </mc:AlternateContent>
  <xr:revisionPtr revIDLastSave="0" documentId="13_ncr:1_{FDB9D9FB-0DFD-4474-B6B5-3347102F198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uri="GoogleSheetsCustomDataVersion1">
      <go:sheetsCustomData xmlns:go="http://customooxmlschemas.google.com/" r:id="rId7" roundtripDataSignature="AMtx7mgJWMt6OndK5qOekg/+twpV3Ik83A=="/>
    </ext>
  </extLst>
</workbook>
</file>

<file path=xl/calcChain.xml><?xml version="1.0" encoding="utf-8"?>
<calcChain xmlns="http://schemas.openxmlformats.org/spreadsheetml/2006/main">
  <c r="J72" i="1" l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J68" i="1"/>
  <c r="I68" i="1"/>
  <c r="F68" i="1"/>
  <c r="E68" i="1"/>
  <c r="J67" i="1"/>
  <c r="I67" i="1"/>
  <c r="F67" i="1"/>
  <c r="G67" i="1" s="1"/>
  <c r="H67" i="1" s="1"/>
  <c r="E67" i="1"/>
  <c r="J66" i="1"/>
  <c r="I66" i="1"/>
  <c r="F66" i="1"/>
  <c r="E66" i="1"/>
  <c r="J64" i="1"/>
  <c r="J63" i="1"/>
  <c r="I62" i="1"/>
  <c r="G62" i="1"/>
  <c r="F62" i="1"/>
  <c r="H62" i="1" s="1"/>
  <c r="E62" i="1"/>
  <c r="J61" i="1"/>
  <c r="J60" i="1"/>
  <c r="I59" i="1"/>
  <c r="F59" i="1"/>
  <c r="E59" i="1"/>
  <c r="J57" i="1"/>
  <c r="I57" i="1"/>
  <c r="F57" i="1"/>
  <c r="G57" i="1" s="1"/>
  <c r="H57" i="1" s="1"/>
  <c r="E57" i="1"/>
  <c r="J56" i="1"/>
  <c r="I56" i="1"/>
  <c r="F56" i="1"/>
  <c r="E56" i="1"/>
  <c r="J55" i="1"/>
  <c r="I55" i="1"/>
  <c r="F55" i="1"/>
  <c r="G55" i="1" s="1"/>
  <c r="H55" i="1" s="1"/>
  <c r="E55" i="1"/>
  <c r="J53" i="1"/>
  <c r="I53" i="1"/>
  <c r="F53" i="1"/>
  <c r="J52" i="1"/>
  <c r="I52" i="1"/>
  <c r="G52" i="1"/>
  <c r="F52" i="1"/>
  <c r="H52" i="1" s="1"/>
  <c r="J51" i="1"/>
  <c r="I51" i="1"/>
  <c r="F51" i="1"/>
  <c r="G51" i="1" s="1"/>
  <c r="H51" i="1" s="1"/>
  <c r="J50" i="1"/>
  <c r="I50" i="1"/>
  <c r="G50" i="1"/>
  <c r="H50" i="1" s="1"/>
  <c r="F50" i="1"/>
  <c r="J48" i="1"/>
  <c r="I48" i="1"/>
  <c r="F48" i="1"/>
  <c r="G48" i="1" s="1"/>
  <c r="E48" i="1"/>
  <c r="J47" i="1"/>
  <c r="I47" i="1"/>
  <c r="F47" i="1"/>
  <c r="G47" i="1" s="1"/>
  <c r="H47" i="1" s="1"/>
  <c r="E47" i="1"/>
  <c r="J46" i="1"/>
  <c r="I46" i="1"/>
  <c r="F46" i="1"/>
  <c r="G46" i="1" s="1"/>
  <c r="E46" i="1"/>
  <c r="J45" i="1"/>
  <c r="I45" i="1"/>
  <c r="F45" i="1"/>
  <c r="G45" i="1" s="1"/>
  <c r="H45" i="1" s="1"/>
  <c r="E45" i="1"/>
  <c r="J44" i="1"/>
  <c r="I44" i="1"/>
  <c r="F44" i="1"/>
  <c r="G44" i="1" s="1"/>
  <c r="E44" i="1"/>
  <c r="J43" i="1"/>
  <c r="I43" i="1"/>
  <c r="F43" i="1"/>
  <c r="G43" i="1" s="1"/>
  <c r="H43" i="1" s="1"/>
  <c r="E43" i="1"/>
  <c r="J42" i="1"/>
  <c r="I42" i="1"/>
  <c r="F42" i="1"/>
  <c r="G42" i="1" s="1"/>
  <c r="E42" i="1"/>
  <c r="J41" i="1"/>
  <c r="I41" i="1"/>
  <c r="F41" i="1"/>
  <c r="G41" i="1" s="1"/>
  <c r="H41" i="1" s="1"/>
  <c r="E41" i="1"/>
  <c r="J40" i="1"/>
  <c r="I40" i="1"/>
  <c r="F40" i="1"/>
  <c r="G40" i="1" s="1"/>
  <c r="E40" i="1"/>
  <c r="J39" i="1"/>
  <c r="I39" i="1"/>
  <c r="F39" i="1"/>
  <c r="G39" i="1" s="1"/>
  <c r="H39" i="1" s="1"/>
  <c r="E39" i="1"/>
  <c r="J38" i="1"/>
  <c r="I38" i="1"/>
  <c r="F38" i="1"/>
  <c r="G38" i="1" s="1"/>
  <c r="E38" i="1"/>
  <c r="J37" i="1"/>
  <c r="I37" i="1"/>
  <c r="F37" i="1"/>
  <c r="G37" i="1" s="1"/>
  <c r="H37" i="1" s="1"/>
  <c r="E37" i="1"/>
  <c r="J36" i="1"/>
  <c r="I36" i="1"/>
  <c r="F36" i="1"/>
  <c r="G36" i="1" s="1"/>
  <c r="E36" i="1"/>
  <c r="J35" i="1"/>
  <c r="I35" i="1"/>
  <c r="F35" i="1"/>
  <c r="G35" i="1" s="1"/>
  <c r="H35" i="1" s="1"/>
  <c r="E35" i="1"/>
  <c r="J34" i="1"/>
  <c r="J33" i="1"/>
  <c r="I33" i="1"/>
  <c r="G33" i="1"/>
  <c r="F33" i="1"/>
  <c r="H33" i="1" s="1"/>
  <c r="E33" i="1"/>
  <c r="I32" i="1"/>
  <c r="G32" i="1"/>
  <c r="H32" i="1" s="1"/>
  <c r="F32" i="1"/>
  <c r="E32" i="1"/>
  <c r="J31" i="1"/>
  <c r="J32" i="1" s="1"/>
  <c r="I31" i="1"/>
  <c r="G31" i="1"/>
  <c r="F31" i="1"/>
  <c r="H31" i="1" s="1"/>
  <c r="E31" i="1"/>
  <c r="I30" i="1"/>
  <c r="G30" i="1"/>
  <c r="H30" i="1" s="1"/>
  <c r="F30" i="1"/>
  <c r="E30" i="1"/>
  <c r="J29" i="1"/>
  <c r="J30" i="1" s="1"/>
  <c r="I29" i="1"/>
  <c r="G29" i="1"/>
  <c r="F29" i="1"/>
  <c r="H29" i="1" s="1"/>
  <c r="E29" i="1"/>
  <c r="J27" i="1"/>
  <c r="I27" i="1"/>
  <c r="G27" i="1"/>
  <c r="H27" i="1" s="1"/>
  <c r="F27" i="1"/>
  <c r="E27" i="1"/>
  <c r="J26" i="1"/>
  <c r="I26" i="1"/>
  <c r="G26" i="1"/>
  <c r="F26" i="1"/>
  <c r="H26" i="1" s="1"/>
  <c r="E26" i="1"/>
  <c r="J24" i="1"/>
  <c r="I24" i="1"/>
  <c r="G24" i="1"/>
  <c r="H24" i="1" s="1"/>
  <c r="F24" i="1"/>
  <c r="E24" i="1"/>
  <c r="J23" i="1"/>
  <c r="I23" i="1"/>
  <c r="G23" i="1"/>
  <c r="F23" i="1"/>
  <c r="H23" i="1" s="1"/>
  <c r="E23" i="1"/>
  <c r="J22" i="1"/>
  <c r="I22" i="1"/>
  <c r="G22" i="1"/>
  <c r="H22" i="1" s="1"/>
  <c r="F22" i="1"/>
  <c r="E22" i="1"/>
  <c r="J21" i="1"/>
  <c r="I21" i="1"/>
  <c r="G21" i="1"/>
  <c r="F21" i="1"/>
  <c r="H21" i="1" s="1"/>
  <c r="E21" i="1"/>
  <c r="J20" i="1"/>
  <c r="I20" i="1"/>
  <c r="G20" i="1"/>
  <c r="H20" i="1" s="1"/>
  <c r="F20" i="1"/>
  <c r="E20" i="1"/>
  <c r="J19" i="1"/>
  <c r="I19" i="1"/>
  <c r="G19" i="1"/>
  <c r="F19" i="1"/>
  <c r="H19" i="1" s="1"/>
  <c r="E19" i="1"/>
  <c r="J18" i="1"/>
  <c r="I18" i="1"/>
  <c r="G18" i="1"/>
  <c r="H18" i="1" s="1"/>
  <c r="F18" i="1"/>
  <c r="E18" i="1"/>
  <c r="I16" i="1"/>
  <c r="G16" i="1"/>
  <c r="F16" i="1"/>
  <c r="H16" i="1" s="1"/>
  <c r="J15" i="1"/>
  <c r="J16" i="1" s="1"/>
  <c r="I15" i="1"/>
  <c r="F15" i="1"/>
  <c r="G15" i="1" s="1"/>
  <c r="H15" i="1" s="1"/>
  <c r="I14" i="1"/>
  <c r="G14" i="1"/>
  <c r="H14" i="1" s="1"/>
  <c r="F14" i="1"/>
  <c r="E14" i="1"/>
  <c r="J13" i="1"/>
  <c r="J14" i="1" s="1"/>
  <c r="I13" i="1"/>
  <c r="G13" i="1"/>
  <c r="F13" i="1"/>
  <c r="H13" i="1" s="1"/>
  <c r="E13" i="1"/>
  <c r="I12" i="1"/>
  <c r="G12" i="1"/>
  <c r="H12" i="1" s="1"/>
  <c r="F12" i="1"/>
  <c r="E12" i="1"/>
  <c r="J11" i="1"/>
  <c r="J12" i="1" s="1"/>
  <c r="I11" i="1"/>
  <c r="G11" i="1"/>
  <c r="F11" i="1"/>
  <c r="H11" i="1" s="1"/>
  <c r="E11" i="1"/>
  <c r="I10" i="1"/>
  <c r="G10" i="1"/>
  <c r="H10" i="1" s="1"/>
  <c r="F10" i="1"/>
  <c r="E10" i="1"/>
  <c r="J9" i="1"/>
  <c r="J10" i="1" s="1"/>
  <c r="I9" i="1"/>
  <c r="G9" i="1"/>
  <c r="F9" i="1"/>
  <c r="H9" i="1" s="1"/>
  <c r="E9" i="1"/>
  <c r="I8" i="1"/>
  <c r="G8" i="1"/>
  <c r="H8" i="1" s="1"/>
  <c r="F8" i="1"/>
  <c r="E8" i="1"/>
  <c r="J7" i="1"/>
  <c r="J8" i="1" s="1"/>
  <c r="I7" i="1"/>
  <c r="G7" i="1"/>
  <c r="F7" i="1"/>
  <c r="H7" i="1" s="1"/>
  <c r="E7" i="1"/>
  <c r="I6" i="1"/>
  <c r="G6" i="1"/>
  <c r="H6" i="1" s="1"/>
  <c r="F6" i="1"/>
  <c r="E6" i="1"/>
  <c r="J5" i="1"/>
  <c r="J6" i="1" s="1"/>
  <c r="I5" i="1"/>
  <c r="G5" i="1"/>
  <c r="F5" i="1"/>
  <c r="H5" i="1" s="1"/>
  <c r="E5" i="1"/>
  <c r="H70" i="1" l="1"/>
  <c r="H56" i="1"/>
  <c r="H36" i="1"/>
  <c r="H38" i="1"/>
  <c r="H40" i="1"/>
  <c r="H42" i="1"/>
  <c r="H44" i="1"/>
  <c r="H46" i="1"/>
  <c r="H48" i="1"/>
  <c r="G66" i="1"/>
  <c r="H66" i="1" s="1"/>
  <c r="G68" i="1"/>
  <c r="H68" i="1" s="1"/>
  <c r="G70" i="1"/>
  <c r="G72" i="1"/>
  <c r="H72" i="1" s="1"/>
  <c r="G53" i="1"/>
  <c r="H53" i="1" s="1"/>
  <c r="G56" i="1"/>
  <c r="G59" i="1"/>
  <c r="H59" i="1" s="1"/>
  <c r="G69" i="1"/>
  <c r="H69" i="1" s="1"/>
  <c r="G71" i="1"/>
  <c r="H71" i="1" s="1"/>
</calcChain>
</file>

<file path=xl/sharedStrings.xml><?xml version="1.0" encoding="utf-8"?>
<sst xmlns="http://schemas.openxmlformats.org/spreadsheetml/2006/main" count="389" uniqueCount="192">
  <si>
    <t>ARCHIVO Y ALMACENAMIENTO</t>
  </si>
  <si>
    <t>N. IMG.</t>
  </si>
  <si>
    <t xml:space="preserve">código </t>
  </si>
  <si>
    <t xml:space="preserve">descripción </t>
  </si>
  <si>
    <t>precio compra</t>
  </si>
  <si>
    <t>precio público</t>
  </si>
  <si>
    <t>alto (m)</t>
  </si>
  <si>
    <t>frente (m)</t>
  </si>
  <si>
    <t>fondo (m)</t>
  </si>
  <si>
    <t>volumen (m3)</t>
  </si>
  <si>
    <t>peso (kg)</t>
  </si>
  <si>
    <t>precio ANTERIOR MÁS ESCALAS %</t>
  </si>
  <si>
    <t>precio sin iva, precio anterior. LA LISTA DE PRECIOS SUBE EL 3% POR DEMANDA D:</t>
  </si>
  <si>
    <t>precio sin iva</t>
  </si>
  <si>
    <t>iva</t>
  </si>
  <si>
    <t xml:space="preserve"> precio incluido iva </t>
  </si>
  <si>
    <t>archivadores</t>
  </si>
  <si>
    <t>01afv397</t>
  </si>
  <si>
    <t>archivador 3 gav f.e (97x47x60)</t>
  </si>
  <si>
    <t>0,97</t>
  </si>
  <si>
    <t>0,47</t>
  </si>
  <si>
    <t>0,60</t>
  </si>
  <si>
    <t>0,27</t>
  </si>
  <si>
    <t>elaborado en lámina CR C22. gavetas con corredera full extensión. canastilla para carpeta. dimensión gaveta: 28 x 43 x 48 cm. cerradura tipo trampa. cierre general en platina. nivelador antideslizante. acabado en pintura electrostática</t>
  </si>
  <si>
    <t>archivador 3 gav frente melaminico (97x47x60)</t>
  </si>
  <si>
    <t>01afv412</t>
  </si>
  <si>
    <t>archivador 4 gav f.e (126x47x60)</t>
  </si>
  <si>
    <t>1,26</t>
  </si>
  <si>
    <t>0,36</t>
  </si>
  <si>
    <t>elaborado en lámina CR C22. gavetas con corredera full extensión canastilla para carpetas. dimensión gaveta: 28 x 43 x 48 cm. cerradura tipo trampa. cierre general en platina. acabado en pintura electrostática. nivelador antideslizante.</t>
  </si>
  <si>
    <t>archivador 4 gav  frente melaminico (126x47x60)</t>
  </si>
  <si>
    <t>01afh270</t>
  </si>
  <si>
    <t>archivador 2 gav f.e horizontal (70x90x48)</t>
  </si>
  <si>
    <t>0,70</t>
  </si>
  <si>
    <t>0,90</t>
  </si>
  <si>
    <t>0,48</t>
  </si>
  <si>
    <t>0,30</t>
  </si>
  <si>
    <t>elaborado en lámina CR C22. gavetas corredera full extensión. canastilla para carpetas. dimensión gaveta: 28 x 84 x45 cm. cerradura tipo trampa. cierre general en platina. nivelador antideslizante. acabado en pintura electrostática.</t>
  </si>
  <si>
    <t>archivador 2 gav  frente melaminico (70x90x48)</t>
  </si>
  <si>
    <t>01afh397</t>
  </si>
  <si>
    <t>archivador 3 gav f.e horizontal (97x90x48)</t>
  </si>
  <si>
    <t>0,42</t>
  </si>
  <si>
    <t>elaborado en lámina CR C22. gavetas corredera full extensión. canastilla para carpetas. dimensión gaveta: 28 x 84 x 45 cm. cerradura tipo trampa. cierre general en platina. acabado en pintura electrostática. nivelador antideslizante.</t>
  </si>
  <si>
    <t>archivador 3 gav  frente melaminico (97x90x48)</t>
  </si>
  <si>
    <t>01afh412</t>
  </si>
  <si>
    <t>archivador 4 gav f.e horizontal (126x90x48)</t>
  </si>
  <si>
    <t>0,54</t>
  </si>
  <si>
    <t>elaborado en lámina CR C22. gaveta corredera full extensión canastilla para carpetas. dimensión gaveta: 28 x 84 x 45 cm. cerradura tipo trampa. cierre general en platina. nivelador antideslizante. acabado en pintura electrostática.</t>
  </si>
  <si>
    <t>archivador 4 gav  frente melaminico (126x90x48)</t>
  </si>
  <si>
    <t>07aam175</t>
  </si>
  <si>
    <t>archivador mixto (175x90x48)</t>
  </si>
  <si>
    <t>1,75</t>
  </si>
  <si>
    <t>0,76</t>
  </si>
  <si>
    <t>elaborado en lámina CR C22. puertas abatibles. entrepaño divisor. cerradura tipo guantera. archivador: elaborado en lámina CR C22. gaveta corredera full extensión. canastilla para carpeta. dimensión gaveta: 28 x 84 x 45 cm. acabado en pintura electrostática.</t>
  </si>
  <si>
    <t>archivador mixto  frente melaminico (175x90x48)</t>
  </si>
  <si>
    <t>armarios</t>
  </si>
  <si>
    <t>01mam180</t>
  </si>
  <si>
    <t>armario multiusos grande (180x90x48)</t>
  </si>
  <si>
    <t>1,80</t>
  </si>
  <si>
    <t>0,78</t>
  </si>
  <si>
    <t>elaborado en lámina CR C22. 4 entrepaños graduables. sistema de uña.  puertas con bisagra plana. manija cerradura tipo armario. acabado en pintura electrostática.</t>
  </si>
  <si>
    <t>01mamp18</t>
  </si>
  <si>
    <t>armario multiusos grande puerta madera</t>
  </si>
  <si>
    <t>01mam090</t>
  </si>
  <si>
    <t>armario multiusos mediano (97x90x48)</t>
  </si>
  <si>
    <t>01mamp90</t>
  </si>
  <si>
    <t>armario multiusos mediano puerta madera</t>
  </si>
  <si>
    <t>armario multiusos pequeño (70x90x48)</t>
  </si>
  <si>
    <t>elaborado en lámina CR C22. 2 entrepaños graduables. sistema de uña. puertas con bisagra plana. cerradura tipo guantera manija cilíndrica. acabado en pintura electrostática.</t>
  </si>
  <si>
    <t>01mamp70</t>
  </si>
  <si>
    <t>armario multiusos pequeño puerta madera</t>
  </si>
  <si>
    <t>01map180</t>
  </si>
  <si>
    <t>armario portacarpetas (180x90x48)</t>
  </si>
  <si>
    <t xml:space="preserve">elaborado en lámina CR C22. Entrepaño superior jo.
4 canastas porta carpetas. corredera   full   extensión. puertas con bisagra plana. manija cerradura tipo armario. acabado en pintura electrostática
</t>
  </si>
  <si>
    <t>módulos</t>
  </si>
  <si>
    <t>01mmd000</t>
  </si>
  <si>
    <t>módulo mediano sp (97x90x48)</t>
  </si>
  <si>
    <t>01mpq000</t>
  </si>
  <si>
    <t>módulo pequeño sp (70x90x48)</t>
  </si>
  <si>
    <t>cajoneras</t>
  </si>
  <si>
    <t>01cfb037</t>
  </si>
  <si>
    <t>cajonera bajita f.e fte.37 (57x37x48)</t>
  </si>
  <si>
    <t>0,57</t>
  </si>
  <si>
    <t>0,37</t>
  </si>
  <si>
    <t>0,10</t>
  </si>
  <si>
    <t>elaborado en lámina CR C22. corredera full extensión.
1 gaveta archivo / 1 gaveta lapicero. canastilla para carpeta en lámina. nivelador antideslizante o rodachinas en polipropileno. acabado en pintura electrostática.</t>
  </si>
  <si>
    <t>cajonera bajita  frente melaminico fte.37 (57x37x48)</t>
  </si>
  <si>
    <t>01cfb047</t>
  </si>
  <si>
    <t>cajonera bajita f.e fte.47 (57x47x48)</t>
  </si>
  <si>
    <t>0,13</t>
  </si>
  <si>
    <t>cajonera bajita  frente melaminico fte.47 (57x47x48)</t>
  </si>
  <si>
    <t>01cbp037</t>
  </si>
  <si>
    <t>cajonera bajita f.e fte.37 con puf (57x37x48)</t>
  </si>
  <si>
    <t>0,65</t>
  </si>
  <si>
    <t>0,12</t>
  </si>
  <si>
    <t>elaborado   en   lámina   CR   C22. 1 gaveta lapicero / 1 gaveta archivo. canastilla porta carpeta en lámina. puff con espuma de alta densidad tapizado en paño o tela vinílica. corredera    full    extensión. nivelador antideslizante o rodachinas en polipropileno. acabado en pintura electrostática.</t>
  </si>
  <si>
    <t>cajonera bajita frente en melaminico fte.37 con puf (57x37x48)</t>
  </si>
  <si>
    <t>01cfn130</t>
  </si>
  <si>
    <t>cajonera 1x1 f.e fte.30 (70x30x48)</t>
  </si>
  <si>
    <t>elaborado en lámina CR C22. 2 gavetas archivo. canastilla porta carpeta en lámina. corredera full extensión importada. cierre general en platina. cerradura tipo trampa. nivelador antideslizante. acabado en pintura electrostática</t>
  </si>
  <si>
    <t>cajonera 1x1 frente en melaminico fte.30 (70x30x48)</t>
  </si>
  <si>
    <t>01cfe137</t>
  </si>
  <si>
    <t>cajonera 1x1 f.e fte.37 (70x37x48)</t>
  </si>
  <si>
    <t>cajonera 1x1 frente en melaminico fte.37 (70x37x48)</t>
  </si>
  <si>
    <t>01cfn147</t>
  </si>
  <si>
    <t>cajonera 1x1 f.e fte.47 (70x47x48)</t>
  </si>
  <si>
    <t>0,16</t>
  </si>
  <si>
    <t>cajonera 1x1 frente melaminico fte.47 (70x47x48)</t>
  </si>
  <si>
    <t>01cfn230</t>
  </si>
  <si>
    <t>cajonera 2x1 f.e fte.30 (70x30x48)</t>
  </si>
  <si>
    <t>elaborado en lámina CR C22. 1 gaveta archivo. canastilla porta carpeta en lámina. corredera full extensión importada. 2 gavetas lapicero. corredera sencilla.  cierre general en platina. cerradura tipo trampa. acabado en pintura electrostática.</t>
  </si>
  <si>
    <t>cajonera 2x1  frente melaminico fte.30 (70x30x48)</t>
  </si>
  <si>
    <t>01cfn237</t>
  </si>
  <si>
    <t>cajonera 2x1 f.e fte.37 (70x37x48)</t>
  </si>
  <si>
    <t>cajonera 2x1  frente melaminico fte.37 (70x37x48)</t>
  </si>
  <si>
    <t>01cfn247</t>
  </si>
  <si>
    <t>cajonera 2x1 f.e fte.47 (70x47x48)</t>
  </si>
  <si>
    <t>cajonera 2x1  frente melaminico fte.47 (70x47x48)</t>
  </si>
  <si>
    <t>01cfm237</t>
  </si>
  <si>
    <t>cajonera mixta 2x1 f.e fte.37 (65x90x48)</t>
  </si>
  <si>
    <t>0,28</t>
  </si>
  <si>
    <t xml:space="preserve">elaborado en  lámina  CR  C22. 1      gaveta       archivo. canastilla porta carpeta en lámina. corredera full extensión.
2        gavetas          lapicero. corredera sencilla. compartimento de doble nivel. cerradura   tipo   trampa. acabado en pintura electrostática.
</t>
  </si>
  <si>
    <t>cajonera mixta 2x1  frente melaminico fte.37 (65x90x48)</t>
  </si>
  <si>
    <t>estantería</t>
  </si>
  <si>
    <t>01eeh923</t>
  </si>
  <si>
    <t>entrepaño estante hueco/uña (92x30)</t>
  </si>
  <si>
    <t>0,03</t>
  </si>
  <si>
    <t>0,92</t>
  </si>
  <si>
    <t>elaborado en lámina CR C24. 1 refuerzo / 2 refuerzos. tornillos zincados, cabeza plana. sistema de uña / hueco. resistencia de 50 kg. / 55 kg. - dispersos en área total. acabado pintura electrostática.</t>
  </si>
  <si>
    <t>01eeh924</t>
  </si>
  <si>
    <t>entrepaño estante hueco/uña (92x40)</t>
  </si>
  <si>
    <t>0,40</t>
  </si>
  <si>
    <t>01eph200</t>
  </si>
  <si>
    <t>paral estante hueco/uña 200</t>
  </si>
  <si>
    <t>2,00</t>
  </si>
  <si>
    <t>0,05</t>
  </si>
  <si>
    <t>01eph240</t>
  </si>
  <si>
    <t>paral estante hueco/uña 240</t>
  </si>
  <si>
    <t>2,40</t>
  </si>
  <si>
    <t>folderamas</t>
  </si>
  <si>
    <t>01fol160</t>
  </si>
  <si>
    <t>folderama 1,60 (160x105x45)</t>
  </si>
  <si>
    <t>1,60</t>
  </si>
  <si>
    <t>1,05</t>
  </si>
  <si>
    <t>0,46</t>
  </si>
  <si>
    <t>0,77</t>
  </si>
  <si>
    <t>elaborado en lámina CR C23. puerta tipo cortina, desplazable hacia  los  laterales  internamente. 4 / 5 / 6 entrepaños graduables. sistema de uña, con 3 separadores por                      entrepaño. acabado pintura electrostática.</t>
  </si>
  <si>
    <t>01fol190</t>
  </si>
  <si>
    <t>folderama 1,90 (190x105x45)</t>
  </si>
  <si>
    <t>1,90</t>
  </si>
  <si>
    <t>01fol210</t>
  </si>
  <si>
    <t>folderama 2,10 (210x105x46)</t>
  </si>
  <si>
    <t>2,10</t>
  </si>
  <si>
    <t>1,01</t>
  </si>
  <si>
    <t>gabinetes</t>
  </si>
  <si>
    <t>01gof645</t>
  </si>
  <si>
    <t>gabinete oficina (45x60x35)</t>
  </si>
  <si>
    <t>0,45</t>
  </si>
  <si>
    <t>0,35</t>
  </si>
  <si>
    <t>0,09</t>
  </si>
  <si>
    <t>elaborado en lámina CR C22. puerta abatible. brazo hidraúlico.
frente fórmica / paño. ancho 16,5 cm. cerradura tipo guantera. riel para asegurar a la pared.  acabado en pintura electrostática</t>
  </si>
  <si>
    <t>gabinete oficina frente madera (45x60x35)</t>
  </si>
  <si>
    <t>gabinete oficina frente franja en madera (45x60x35)</t>
  </si>
  <si>
    <t>01gof945</t>
  </si>
  <si>
    <t>gabinete oficina (45x90x35)</t>
  </si>
  <si>
    <t>0,14</t>
  </si>
  <si>
    <t>gabinete oficina frente en madera(45x90x35)</t>
  </si>
  <si>
    <t>gabinete oficina frente franja en madera (45x90x35)</t>
  </si>
  <si>
    <t>lockers</t>
  </si>
  <si>
    <t>01lok118</t>
  </si>
  <si>
    <t>locker de 01 puesto   (180x31x30)</t>
  </si>
  <si>
    <t>0,31</t>
  </si>
  <si>
    <t>0,17</t>
  </si>
  <si>
    <t>elaborado en lámina CR C22. zapatera y gancho para colgar. puerta sistema de pin. rejillas de ventilación.  manija metálica tubular. portacandado en platina. dimensión compartimento: 172 x 30 x 29 cm. acabado pintura electrostática.</t>
  </si>
  <si>
    <t>01lok218</t>
  </si>
  <si>
    <t>locker de 02 puestos (180x31x30)</t>
  </si>
  <si>
    <t>elaborado en lámina CR C22. zapatera y gancho para colgar. puerta sistema de pin. rejillas de ventilación. manija metálica tubular. portacandado en platina. dimensión compartimento: 86 x 30 x 29 cm. acabado pintura electrostática.</t>
  </si>
  <si>
    <t>01lok418</t>
  </si>
  <si>
    <t>locker de 04 puestos (180x60x30)</t>
  </si>
  <si>
    <t>0,32</t>
  </si>
  <si>
    <t>elaborado en lámina CR C22. zapatera y gancho para colgar. puerta sistema de pin. rejillas de ventilación. manija metálica tubular. portacandado en platina. dimensión compartimento: 86 x 30 x 29 cm. acabado pintura electrostática</t>
  </si>
  <si>
    <t>01lok618</t>
  </si>
  <si>
    <t>locker de 06 puestos (180x90x30)</t>
  </si>
  <si>
    <t>0,49</t>
  </si>
  <si>
    <t>01lok920</t>
  </si>
  <si>
    <t>locker de 09 puestos cz (200x90x30)</t>
  </si>
  <si>
    <t>elaborado en lámina CR C22. puerta  sistema   de   pin. rejillas de ventilación. manija metálica tubular. dimensión por compartimento: 64 x 30 x 29 cm. acabado pintura electrostática</t>
  </si>
  <si>
    <t>01lok921</t>
  </si>
  <si>
    <t>locker de 09 puestos sz (200x90x30)</t>
  </si>
  <si>
    <t>01lok122</t>
  </si>
  <si>
    <t>locker de 12 puestos (200x90x30)</t>
  </si>
  <si>
    <t>elaborado en lámina CR C22. puerta sistema de pin. rejillas de ventilación. manija metálica tubular. dimensión por compartimento: 48 x 30 x 29 cm. acabado pintura electrostática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</si>
</sst>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Arial"/>
    </font>
    <font>
      <b/>
      <sz val="14"/>
      <color rgb="FFFFFFFF"/>
      <name val="Verdana"/>
    </font>
    <font>
      <sz val="11"/>
      <name val="Arial"/>
    </font>
    <font>
      <b/>
      <sz val="11"/>
      <color rgb="FFFFFFFF"/>
      <name val="Verdana"/>
    </font>
    <font>
      <b/>
      <sz val="14"/>
      <color rgb="FF073763"/>
      <name val="Verdana"/>
    </font>
    <font>
      <sz val="8"/>
      <color rgb="FF073763"/>
      <name val="Verdana"/>
    </font>
    <font>
      <sz val="8"/>
      <color rgb="FF073763"/>
      <name val="Arial"/>
    </font>
    <font>
      <sz val="11"/>
      <color rgb="FF073763"/>
      <name val="Calibri"/>
    </font>
    <font>
      <b/>
      <sz val="12"/>
      <color rgb="FF073763"/>
      <name val="Verdana"/>
    </font>
  </fonts>
  <fills count="9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6FA8DC"/>
        <bgColor rgb="FF6FA8D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CFE2F3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73763"/>
      </left>
      <right/>
      <top style="medium">
        <color rgb="FF073763"/>
      </top>
      <bottom style="medium">
        <color rgb="FF073763"/>
      </bottom>
      <diagonal/>
    </border>
    <border>
      <left/>
      <right/>
      <top style="medium">
        <color rgb="FF073763"/>
      </top>
      <bottom style="medium">
        <color rgb="FF073763"/>
      </bottom>
      <diagonal/>
    </border>
    <border>
      <left/>
      <right style="medium">
        <color rgb="FF073763"/>
      </right>
      <top style="medium">
        <color rgb="FF073763"/>
      </top>
      <bottom style="medium">
        <color rgb="FF073763"/>
      </bottom>
      <diagonal/>
    </border>
    <border>
      <left style="medium">
        <color rgb="FF073763"/>
      </left>
      <right style="medium">
        <color rgb="FF073763"/>
      </right>
      <top style="medium">
        <color rgb="FF073763"/>
      </top>
      <bottom/>
      <diagonal/>
    </border>
    <border>
      <left style="medium">
        <color rgb="FF073763"/>
      </left>
      <right/>
      <top style="medium">
        <color rgb="FF073763"/>
      </top>
      <bottom/>
      <diagonal/>
    </border>
    <border>
      <left/>
      <right style="medium">
        <color rgb="FF073763"/>
      </right>
      <top style="medium">
        <color rgb="FF073763"/>
      </top>
      <bottom/>
      <diagonal/>
    </border>
    <border>
      <left style="medium">
        <color rgb="FF073763"/>
      </left>
      <right style="medium">
        <color rgb="FF073763"/>
      </right>
      <top/>
      <bottom style="medium">
        <color rgb="FF073763"/>
      </bottom>
      <diagonal/>
    </border>
    <border>
      <left style="medium">
        <color rgb="FF073763"/>
      </left>
      <right style="medium">
        <color rgb="FF073763"/>
      </right>
      <top style="medium">
        <color rgb="FF073763"/>
      </top>
      <bottom style="medium">
        <color rgb="FF073763"/>
      </bottom>
      <diagonal/>
    </border>
    <border>
      <left style="medium">
        <color rgb="FF073763"/>
      </left>
      <right/>
      <top/>
      <bottom style="medium">
        <color rgb="FF073763"/>
      </bottom>
      <diagonal/>
    </border>
    <border>
      <left/>
      <right style="medium">
        <color rgb="FF073763"/>
      </right>
      <top/>
      <bottom style="medium">
        <color rgb="FF073763"/>
      </bottom>
      <diagonal/>
    </border>
    <border>
      <left style="medium">
        <color rgb="FF073763"/>
      </left>
      <right style="medium">
        <color rgb="FF073763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3" fontId="3" fillId="3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/>
    <xf numFmtId="164" fontId="5" fillId="5" borderId="8" xfId="0" applyNumberFormat="1" applyFont="1" applyFill="1" applyBorder="1"/>
    <xf numFmtId="0" fontId="5" fillId="5" borderId="8" xfId="0" applyFont="1" applyFill="1" applyBorder="1" applyAlignment="1"/>
    <xf numFmtId="164" fontId="5" fillId="5" borderId="8" xfId="0" applyNumberFormat="1" applyFont="1" applyFill="1" applyBorder="1" applyAlignment="1"/>
    <xf numFmtId="0" fontId="5" fillId="6" borderId="8" xfId="0" applyFont="1" applyFill="1" applyBorder="1"/>
    <xf numFmtId="164" fontId="5" fillId="6" borderId="8" xfId="0" applyNumberFormat="1" applyFont="1" applyFill="1" applyBorder="1"/>
    <xf numFmtId="0" fontId="5" fillId="6" borderId="8" xfId="0" applyFont="1" applyFill="1" applyBorder="1" applyAlignment="1">
      <alignment wrapText="1"/>
    </xf>
    <xf numFmtId="0" fontId="6" fillId="6" borderId="8" xfId="0" applyFont="1" applyFill="1" applyBorder="1" applyAlignment="1">
      <alignment wrapText="1"/>
    </xf>
    <xf numFmtId="0" fontId="7" fillId="6" borderId="8" xfId="0" applyFont="1" applyFill="1" applyBorder="1"/>
    <xf numFmtId="0" fontId="5" fillId="6" borderId="8" xfId="0" applyFont="1" applyFill="1" applyBorder="1" applyAlignment="1"/>
    <xf numFmtId="164" fontId="5" fillId="6" borderId="8" xfId="0" applyNumberFormat="1" applyFont="1" applyFill="1" applyBorder="1" applyAlignment="1"/>
    <xf numFmtId="0" fontId="8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5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2" fillId="0" borderId="11" xfId="0" applyFont="1" applyBorder="1"/>
    <xf numFmtId="3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7" borderId="8" xfId="0" applyFont="1" applyFill="1" applyBorder="1"/>
    <xf numFmtId="164" fontId="5" fillId="7" borderId="8" xfId="0" applyNumberFormat="1" applyFont="1" applyFill="1" applyBorder="1"/>
    <xf numFmtId="0" fontId="0" fillId="8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35</xdr:row>
      <xdr:rowOff>0</xdr:rowOff>
    </xdr:from>
    <xdr:ext cx="657225" cy="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27</xdr:row>
      <xdr:rowOff>0</xdr:rowOff>
    </xdr:from>
    <xdr:ext cx="657225" cy="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28</xdr:row>
      <xdr:rowOff>0</xdr:rowOff>
    </xdr:from>
    <xdr:ext cx="657225" cy="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28</xdr:row>
      <xdr:rowOff>0</xdr:rowOff>
    </xdr:from>
    <xdr:ext cx="657225" cy="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topLeftCell="A10" workbookViewId="0">
      <selection activeCell="J15" sqref="J15"/>
    </sheetView>
  </sheetViews>
  <sheetFormatPr baseColWidth="10" defaultColWidth="12.625" defaultRowHeight="15" customHeight="1" x14ac:dyDescent="0.2"/>
  <cols>
    <col min="1" max="1" width="9.375" customWidth="1"/>
    <col min="2" max="2" width="14.625" customWidth="1"/>
    <col min="3" max="3" width="54" customWidth="1"/>
    <col min="4" max="4" width="9.375" hidden="1" customWidth="1"/>
    <col min="5" max="5" width="9.625" hidden="1" customWidth="1"/>
    <col min="6" max="6" width="3.125" hidden="1" customWidth="1"/>
    <col min="7" max="7" width="9.875" hidden="1" customWidth="1"/>
    <col min="8" max="8" width="9.375" hidden="1" customWidth="1"/>
    <col min="9" max="9" width="0.375" hidden="1" customWidth="1"/>
    <col min="10" max="10" width="15.125" customWidth="1"/>
    <col min="11" max="11" width="12.25" customWidth="1"/>
    <col min="12" max="12" width="13.375" customWidth="1"/>
    <col min="13" max="13" width="12.625" customWidth="1"/>
    <col min="14" max="14" width="17.125" customWidth="1"/>
    <col min="15" max="15" width="12.25" customWidth="1"/>
    <col min="16" max="16" width="65.125" customWidth="1"/>
    <col min="17" max="26" width="9.375" customWidth="1"/>
  </cols>
  <sheetData>
    <row r="1" spans="1:16" ht="32.2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14.25" x14ac:dyDescent="0.2">
      <c r="A2" s="20" t="s">
        <v>1</v>
      </c>
      <c r="B2" s="20" t="s">
        <v>2</v>
      </c>
      <c r="C2" s="20" t="s">
        <v>3</v>
      </c>
      <c r="D2" s="28" t="s">
        <v>4</v>
      </c>
      <c r="E2" s="18"/>
      <c r="F2" s="18"/>
      <c r="G2" s="18"/>
      <c r="H2" s="19"/>
      <c r="I2" s="21" t="s">
        <v>5</v>
      </c>
      <c r="J2" s="22"/>
      <c r="K2" s="15" t="s">
        <v>6</v>
      </c>
      <c r="L2" s="15" t="s">
        <v>7</v>
      </c>
      <c r="M2" s="15" t="s">
        <v>8</v>
      </c>
      <c r="N2" s="15" t="s">
        <v>9</v>
      </c>
      <c r="O2" s="15" t="s">
        <v>10</v>
      </c>
      <c r="P2" s="20" t="s">
        <v>3</v>
      </c>
    </row>
    <row r="3" spans="1:16" ht="6.75" customHeight="1" x14ac:dyDescent="0.2">
      <c r="A3" s="16"/>
      <c r="B3" s="16"/>
      <c r="C3" s="16"/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23"/>
      <c r="J3" s="24"/>
      <c r="K3" s="16"/>
      <c r="L3" s="16"/>
      <c r="M3" s="16"/>
      <c r="N3" s="16"/>
      <c r="O3" s="16"/>
      <c r="P3" s="16"/>
    </row>
    <row r="4" spans="1:16" ht="22.5" customHeight="1" x14ac:dyDescent="0.2">
      <c r="A4" s="29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s="33" customFormat="1" ht="14.25" x14ac:dyDescent="0.2">
      <c r="A5" s="31">
        <v>1</v>
      </c>
      <c r="B5" s="31" t="s">
        <v>17</v>
      </c>
      <c r="C5" s="31" t="s">
        <v>18</v>
      </c>
      <c r="D5" s="31">
        <v>359700</v>
      </c>
      <c r="E5" s="31">
        <f t="shared" ref="E5:E14" si="0">(D5*K5)+D5</f>
        <v>708609</v>
      </c>
      <c r="F5" s="31">
        <f t="shared" ref="F5:F16" si="1">ROUND(M5,-2)</f>
        <v>0</v>
      </c>
      <c r="G5" s="31">
        <f t="shared" ref="G5:G16" si="2">F5*19%</f>
        <v>0</v>
      </c>
      <c r="H5" s="31">
        <f t="shared" ref="H5:H16" si="3">F5+G5</f>
        <v>0</v>
      </c>
      <c r="I5" s="31">
        <f t="shared" ref="I5:I16" si="4">D5/0.97</f>
        <v>370824.74226804124</v>
      </c>
      <c r="J5" s="32">
        <f>486000+20000</f>
        <v>506000</v>
      </c>
      <c r="K5" s="31" t="s">
        <v>19</v>
      </c>
      <c r="L5" s="31" t="s">
        <v>20</v>
      </c>
      <c r="M5" s="31" t="s">
        <v>21</v>
      </c>
      <c r="N5" s="31" t="s">
        <v>22</v>
      </c>
      <c r="O5" s="31">
        <v>26</v>
      </c>
      <c r="P5" s="25" t="s">
        <v>23</v>
      </c>
    </row>
    <row r="6" spans="1:16" ht="14.25" x14ac:dyDescent="0.2">
      <c r="A6" s="2"/>
      <c r="B6" s="2"/>
      <c r="C6" s="4" t="s">
        <v>24</v>
      </c>
      <c r="D6" s="2">
        <v>359700</v>
      </c>
      <c r="E6" s="2">
        <f t="shared" si="0"/>
        <v>708609</v>
      </c>
      <c r="F6" s="2">
        <f t="shared" si="1"/>
        <v>0</v>
      </c>
      <c r="G6" s="2">
        <f t="shared" si="2"/>
        <v>0</v>
      </c>
      <c r="H6" s="2">
        <f t="shared" si="3"/>
        <v>0</v>
      </c>
      <c r="I6" s="2">
        <f t="shared" si="4"/>
        <v>370824.74226804124</v>
      </c>
      <c r="J6" s="3">
        <f>J5+60500+25000+5200+5200+5200</f>
        <v>607100</v>
      </c>
      <c r="K6" s="2" t="s">
        <v>19</v>
      </c>
      <c r="L6" s="2" t="s">
        <v>20</v>
      </c>
      <c r="M6" s="2" t="s">
        <v>21</v>
      </c>
      <c r="N6" s="2" t="s">
        <v>22</v>
      </c>
      <c r="O6" s="2"/>
      <c r="P6" s="16"/>
    </row>
    <row r="7" spans="1:16" s="33" customFormat="1" ht="14.25" x14ac:dyDescent="0.2">
      <c r="A7" s="31">
        <v>2</v>
      </c>
      <c r="B7" s="31" t="s">
        <v>25</v>
      </c>
      <c r="C7" s="31" t="s">
        <v>26</v>
      </c>
      <c r="D7" s="31">
        <v>433700</v>
      </c>
      <c r="E7" s="31">
        <f t="shared" si="0"/>
        <v>980162</v>
      </c>
      <c r="F7" s="31">
        <f t="shared" si="1"/>
        <v>0</v>
      </c>
      <c r="G7" s="31">
        <f t="shared" si="2"/>
        <v>0</v>
      </c>
      <c r="H7" s="31">
        <f t="shared" si="3"/>
        <v>0</v>
      </c>
      <c r="I7" s="31">
        <f t="shared" si="4"/>
        <v>447113.40206185565</v>
      </c>
      <c r="J7" s="32">
        <f>586100+25000</f>
        <v>611100</v>
      </c>
      <c r="K7" s="31" t="s">
        <v>27</v>
      </c>
      <c r="L7" s="31" t="s">
        <v>20</v>
      </c>
      <c r="M7" s="31" t="s">
        <v>21</v>
      </c>
      <c r="N7" s="31" t="s">
        <v>28</v>
      </c>
      <c r="O7" s="31">
        <v>34</v>
      </c>
      <c r="P7" s="25" t="s">
        <v>29</v>
      </c>
    </row>
    <row r="8" spans="1:16" ht="14.25" x14ac:dyDescent="0.2">
      <c r="A8" s="2"/>
      <c r="B8" s="2"/>
      <c r="C8" s="4" t="s">
        <v>30</v>
      </c>
      <c r="D8" s="2">
        <v>433700</v>
      </c>
      <c r="E8" s="2">
        <f t="shared" si="0"/>
        <v>980162</v>
      </c>
      <c r="F8" s="2">
        <f t="shared" si="1"/>
        <v>0</v>
      </c>
      <c r="G8" s="2">
        <f t="shared" si="2"/>
        <v>0</v>
      </c>
      <c r="H8" s="2">
        <f t="shared" si="3"/>
        <v>0</v>
      </c>
      <c r="I8" s="2">
        <f t="shared" si="4"/>
        <v>447113.40206185565</v>
      </c>
      <c r="J8" s="3">
        <f>J7+84800+25000+5200+5200+5200+5200</f>
        <v>741700</v>
      </c>
      <c r="K8" s="2" t="s">
        <v>27</v>
      </c>
      <c r="L8" s="2" t="s">
        <v>20</v>
      </c>
      <c r="M8" s="2" t="s">
        <v>21</v>
      </c>
      <c r="N8" s="2" t="s">
        <v>28</v>
      </c>
      <c r="O8" s="2"/>
      <c r="P8" s="16"/>
    </row>
    <row r="9" spans="1:16" s="33" customFormat="1" ht="14.25" x14ac:dyDescent="0.2">
      <c r="A9" s="31">
        <v>3</v>
      </c>
      <c r="B9" s="31" t="s">
        <v>31</v>
      </c>
      <c r="C9" s="31" t="s">
        <v>32</v>
      </c>
      <c r="D9" s="31">
        <v>381600</v>
      </c>
      <c r="E9" s="31">
        <f t="shared" si="0"/>
        <v>648720</v>
      </c>
      <c r="F9" s="31">
        <f t="shared" si="1"/>
        <v>0</v>
      </c>
      <c r="G9" s="31">
        <f t="shared" si="2"/>
        <v>0</v>
      </c>
      <c r="H9" s="31">
        <f t="shared" si="3"/>
        <v>0</v>
      </c>
      <c r="I9" s="31">
        <f t="shared" si="4"/>
        <v>393402.06185567012</v>
      </c>
      <c r="J9" s="32">
        <f>495800+25000</f>
        <v>520800</v>
      </c>
      <c r="K9" s="31" t="s">
        <v>33</v>
      </c>
      <c r="L9" s="31" t="s">
        <v>34</v>
      </c>
      <c r="M9" s="31" t="s">
        <v>35</v>
      </c>
      <c r="N9" s="31" t="s">
        <v>36</v>
      </c>
      <c r="O9" s="31">
        <v>32</v>
      </c>
      <c r="P9" s="25" t="s">
        <v>37</v>
      </c>
    </row>
    <row r="10" spans="1:16" ht="14.25" x14ac:dyDescent="0.2">
      <c r="A10" s="2"/>
      <c r="B10" s="2"/>
      <c r="C10" s="4" t="s">
        <v>38</v>
      </c>
      <c r="D10" s="2">
        <v>381600</v>
      </c>
      <c r="E10" s="2">
        <f t="shared" si="0"/>
        <v>648720</v>
      </c>
      <c r="F10" s="2">
        <f t="shared" si="1"/>
        <v>0</v>
      </c>
      <c r="G10" s="2">
        <f t="shared" si="2"/>
        <v>0</v>
      </c>
      <c r="H10" s="2">
        <f t="shared" si="3"/>
        <v>0</v>
      </c>
      <c r="I10" s="2">
        <f t="shared" si="4"/>
        <v>393402.06185567012</v>
      </c>
      <c r="J10" s="3">
        <f>87200+25000+J9+5200+5200</f>
        <v>643400</v>
      </c>
      <c r="K10" s="2" t="s">
        <v>33</v>
      </c>
      <c r="L10" s="2" t="s">
        <v>34</v>
      </c>
      <c r="M10" s="2" t="s">
        <v>35</v>
      </c>
      <c r="N10" s="2" t="s">
        <v>36</v>
      </c>
      <c r="O10" s="2"/>
      <c r="P10" s="16"/>
    </row>
    <row r="11" spans="1:16" s="33" customFormat="1" ht="26.25" customHeight="1" x14ac:dyDescent="0.2">
      <c r="A11" s="31">
        <v>4</v>
      </c>
      <c r="B11" s="31" t="s">
        <v>39</v>
      </c>
      <c r="C11" s="31" t="s">
        <v>40</v>
      </c>
      <c r="D11" s="31">
        <v>483700</v>
      </c>
      <c r="E11" s="31">
        <f t="shared" si="0"/>
        <v>952889</v>
      </c>
      <c r="F11" s="31">
        <f t="shared" si="1"/>
        <v>0</v>
      </c>
      <c r="G11" s="31">
        <f t="shared" si="2"/>
        <v>0</v>
      </c>
      <c r="H11" s="31">
        <f t="shared" si="3"/>
        <v>0</v>
      </c>
      <c r="I11" s="31">
        <f t="shared" si="4"/>
        <v>498659.79381443298</v>
      </c>
      <c r="J11" s="32">
        <f>628439+25000</f>
        <v>653439</v>
      </c>
      <c r="K11" s="31" t="s">
        <v>19</v>
      </c>
      <c r="L11" s="31" t="s">
        <v>34</v>
      </c>
      <c r="M11" s="31" t="s">
        <v>35</v>
      </c>
      <c r="N11" s="31" t="s">
        <v>41</v>
      </c>
      <c r="O11" s="31">
        <v>43</v>
      </c>
      <c r="P11" s="25" t="s">
        <v>42</v>
      </c>
    </row>
    <row r="12" spans="1:16" ht="14.25" x14ac:dyDescent="0.2">
      <c r="A12" s="2"/>
      <c r="B12" s="2"/>
      <c r="C12" s="4" t="s">
        <v>43</v>
      </c>
      <c r="D12" s="2">
        <v>483700</v>
      </c>
      <c r="E12" s="2">
        <f t="shared" si="0"/>
        <v>952889</v>
      </c>
      <c r="F12" s="2">
        <f t="shared" si="1"/>
        <v>0</v>
      </c>
      <c r="G12" s="2">
        <f t="shared" si="2"/>
        <v>0</v>
      </c>
      <c r="H12" s="2">
        <f t="shared" si="3"/>
        <v>0</v>
      </c>
      <c r="I12" s="2">
        <f t="shared" si="4"/>
        <v>498659.79381443298</v>
      </c>
      <c r="J12" s="3">
        <f>109100+25000+J11+5200+5200+5200</f>
        <v>803139</v>
      </c>
      <c r="K12" s="2" t="s">
        <v>19</v>
      </c>
      <c r="L12" s="2" t="s">
        <v>34</v>
      </c>
      <c r="M12" s="2" t="s">
        <v>35</v>
      </c>
      <c r="N12" s="2" t="s">
        <v>41</v>
      </c>
      <c r="O12" s="2"/>
      <c r="P12" s="16"/>
    </row>
    <row r="13" spans="1:16" s="33" customFormat="1" ht="14.25" x14ac:dyDescent="0.2">
      <c r="A13" s="31">
        <v>5</v>
      </c>
      <c r="B13" s="31" t="s">
        <v>44</v>
      </c>
      <c r="C13" s="31" t="s">
        <v>45</v>
      </c>
      <c r="D13" s="31">
        <v>589000</v>
      </c>
      <c r="E13" s="31">
        <f t="shared" si="0"/>
        <v>1331140</v>
      </c>
      <c r="F13" s="31">
        <f t="shared" si="1"/>
        <v>0</v>
      </c>
      <c r="G13" s="31">
        <f t="shared" si="2"/>
        <v>0</v>
      </c>
      <c r="H13" s="31">
        <f t="shared" si="3"/>
        <v>0</v>
      </c>
      <c r="I13" s="31">
        <f t="shared" si="4"/>
        <v>607216.49484536087</v>
      </c>
      <c r="J13" s="32">
        <f>765300+25000</f>
        <v>790300</v>
      </c>
      <c r="K13" s="31" t="s">
        <v>27</v>
      </c>
      <c r="L13" s="31" t="s">
        <v>34</v>
      </c>
      <c r="M13" s="31" t="s">
        <v>35</v>
      </c>
      <c r="N13" s="31" t="s">
        <v>46</v>
      </c>
      <c r="O13" s="31">
        <v>59</v>
      </c>
      <c r="P13" s="25" t="s">
        <v>47</v>
      </c>
    </row>
    <row r="14" spans="1:16" ht="14.25" x14ac:dyDescent="0.2">
      <c r="A14" s="2"/>
      <c r="B14" s="2"/>
      <c r="C14" s="4" t="s">
        <v>48</v>
      </c>
      <c r="D14" s="2">
        <v>589000</v>
      </c>
      <c r="E14" s="2">
        <f t="shared" si="0"/>
        <v>1331140</v>
      </c>
      <c r="F14" s="2">
        <f t="shared" si="1"/>
        <v>0</v>
      </c>
      <c r="G14" s="2">
        <f t="shared" si="2"/>
        <v>0</v>
      </c>
      <c r="H14" s="2">
        <f t="shared" si="3"/>
        <v>0</v>
      </c>
      <c r="I14" s="2">
        <f t="shared" si="4"/>
        <v>607216.49484536087</v>
      </c>
      <c r="J14" s="5">
        <f>J13+141500+25000+5200+5200+5200+5200</f>
        <v>977600</v>
      </c>
      <c r="K14" s="2" t="s">
        <v>27</v>
      </c>
      <c r="L14" s="2" t="s">
        <v>34</v>
      </c>
      <c r="M14" s="2" t="s">
        <v>35</v>
      </c>
      <c r="N14" s="2" t="s">
        <v>46</v>
      </c>
      <c r="O14" s="2"/>
      <c r="P14" s="16"/>
    </row>
    <row r="15" spans="1:16" ht="14.25" x14ac:dyDescent="0.2">
      <c r="A15" s="2">
        <v>6</v>
      </c>
      <c r="B15" s="2" t="s">
        <v>49</v>
      </c>
      <c r="C15" s="2" t="s">
        <v>50</v>
      </c>
      <c r="D15" s="2">
        <v>724900</v>
      </c>
      <c r="E15" s="2">
        <v>698000</v>
      </c>
      <c r="F15" s="2">
        <f t="shared" si="1"/>
        <v>0</v>
      </c>
      <c r="G15" s="2">
        <f t="shared" si="2"/>
        <v>0</v>
      </c>
      <c r="H15" s="2">
        <f t="shared" si="3"/>
        <v>0</v>
      </c>
      <c r="I15" s="2">
        <f t="shared" si="4"/>
        <v>747319.58762886596</v>
      </c>
      <c r="J15" s="3">
        <f>906800+25000</f>
        <v>931800</v>
      </c>
      <c r="K15" s="2" t="s">
        <v>51</v>
      </c>
      <c r="L15" s="2" t="s">
        <v>34</v>
      </c>
      <c r="M15" s="2" t="s">
        <v>35</v>
      </c>
      <c r="N15" s="2" t="s">
        <v>52</v>
      </c>
      <c r="O15" s="2">
        <v>66</v>
      </c>
      <c r="P15" s="25" t="s">
        <v>53</v>
      </c>
    </row>
    <row r="16" spans="1:16" ht="14.25" x14ac:dyDescent="0.2">
      <c r="A16" s="2"/>
      <c r="B16" s="2"/>
      <c r="C16" s="4" t="s">
        <v>54</v>
      </c>
      <c r="D16" s="2">
        <v>724900</v>
      </c>
      <c r="E16" s="2">
        <v>698000</v>
      </c>
      <c r="F16" s="2">
        <f t="shared" si="1"/>
        <v>0</v>
      </c>
      <c r="G16" s="2">
        <f t="shared" si="2"/>
        <v>0</v>
      </c>
      <c r="H16" s="2">
        <f t="shared" si="3"/>
        <v>0</v>
      </c>
      <c r="I16" s="2">
        <f t="shared" si="4"/>
        <v>747319.58762886596</v>
      </c>
      <c r="J16" s="3">
        <f>J15+109100+109100+5200+5200+5200+5200+5200</f>
        <v>1176000</v>
      </c>
      <c r="K16" s="2" t="s">
        <v>51</v>
      </c>
      <c r="L16" s="2" t="s">
        <v>34</v>
      </c>
      <c r="M16" s="2" t="s">
        <v>35</v>
      </c>
      <c r="N16" s="2" t="s">
        <v>52</v>
      </c>
      <c r="O16" s="2"/>
      <c r="P16" s="16"/>
    </row>
    <row r="17" spans="1:16" ht="18" x14ac:dyDescent="0.2">
      <c r="A17" s="29" t="s">
        <v>55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21.75" x14ac:dyDescent="0.2">
      <c r="A18" s="6">
        <v>7</v>
      </c>
      <c r="B18" s="6" t="s">
        <v>56</v>
      </c>
      <c r="C18" s="6" t="s">
        <v>57</v>
      </c>
      <c r="D18" s="6">
        <v>468400</v>
      </c>
      <c r="E18" s="6">
        <f t="shared" ref="E18:E24" si="5">(D18*K18)+D18</f>
        <v>1311520</v>
      </c>
      <c r="F18" s="6">
        <f t="shared" ref="F18:F24" si="6">ROUND(M18,-2)</f>
        <v>0</v>
      </c>
      <c r="G18" s="6">
        <f t="shared" ref="G18:G24" si="7">F18*19%</f>
        <v>0</v>
      </c>
      <c r="H18" s="6">
        <f t="shared" ref="H18:H24" si="8">F18+G18</f>
        <v>0</v>
      </c>
      <c r="I18" s="6">
        <f t="shared" ref="I18:I24" si="9">D18/0.97</f>
        <v>482886.59793814435</v>
      </c>
      <c r="J18" s="7">
        <f>633000+25000</f>
        <v>658000</v>
      </c>
      <c r="K18" s="6" t="s">
        <v>58</v>
      </c>
      <c r="L18" s="6" t="s">
        <v>34</v>
      </c>
      <c r="M18" s="6" t="s">
        <v>35</v>
      </c>
      <c r="N18" s="6" t="s">
        <v>59</v>
      </c>
      <c r="O18" s="6">
        <v>56</v>
      </c>
      <c r="P18" s="8" t="s">
        <v>60</v>
      </c>
    </row>
    <row r="19" spans="1:16" ht="24" customHeight="1" x14ac:dyDescent="0.2">
      <c r="A19" s="6">
        <v>8</v>
      </c>
      <c r="B19" s="6" t="s">
        <v>61</v>
      </c>
      <c r="C19" s="6" t="s">
        <v>62</v>
      </c>
      <c r="D19" s="6">
        <v>557500</v>
      </c>
      <c r="E19" s="6">
        <f t="shared" si="5"/>
        <v>1561000</v>
      </c>
      <c r="F19" s="6">
        <f t="shared" si="6"/>
        <v>0</v>
      </c>
      <c r="G19" s="6">
        <f t="shared" si="7"/>
        <v>0</v>
      </c>
      <c r="H19" s="6">
        <f t="shared" si="8"/>
        <v>0</v>
      </c>
      <c r="I19" s="6">
        <f t="shared" si="9"/>
        <v>574742.26804123714</v>
      </c>
      <c r="J19" s="7">
        <f>753300+25000</f>
        <v>778300</v>
      </c>
      <c r="K19" s="6" t="s">
        <v>58</v>
      </c>
      <c r="L19" s="6" t="s">
        <v>34</v>
      </c>
      <c r="M19" s="6" t="s">
        <v>35</v>
      </c>
      <c r="N19" s="6" t="s">
        <v>59</v>
      </c>
      <c r="O19" s="6">
        <v>59</v>
      </c>
      <c r="P19" s="9"/>
    </row>
    <row r="20" spans="1:16" ht="14.25" x14ac:dyDescent="0.2">
      <c r="A20" s="6">
        <v>9</v>
      </c>
      <c r="B20" s="6" t="s">
        <v>63</v>
      </c>
      <c r="C20" s="6" t="s">
        <v>64</v>
      </c>
      <c r="D20" s="6">
        <v>309000</v>
      </c>
      <c r="E20" s="6">
        <f t="shared" si="5"/>
        <v>608730</v>
      </c>
      <c r="F20" s="6">
        <f t="shared" si="6"/>
        <v>0</v>
      </c>
      <c r="G20" s="6">
        <f t="shared" si="7"/>
        <v>0</v>
      </c>
      <c r="H20" s="6">
        <f t="shared" si="8"/>
        <v>0</v>
      </c>
      <c r="I20" s="6">
        <f t="shared" si="9"/>
        <v>318556.70103092783</v>
      </c>
      <c r="J20" s="7">
        <f>417600+25000</f>
        <v>442600</v>
      </c>
      <c r="K20" s="6" t="s">
        <v>19</v>
      </c>
      <c r="L20" s="6" t="s">
        <v>34</v>
      </c>
      <c r="M20" s="6" t="s">
        <v>35</v>
      </c>
      <c r="N20" s="6" t="s">
        <v>41</v>
      </c>
      <c r="O20" s="6">
        <v>31</v>
      </c>
      <c r="P20" s="9"/>
    </row>
    <row r="21" spans="1:16" ht="15.75" customHeight="1" x14ac:dyDescent="0.2">
      <c r="A21" s="6">
        <v>10</v>
      </c>
      <c r="B21" s="6" t="s">
        <v>65</v>
      </c>
      <c r="C21" s="6" t="s">
        <v>66</v>
      </c>
      <c r="D21" s="6">
        <v>357015</v>
      </c>
      <c r="E21" s="6">
        <f t="shared" si="5"/>
        <v>703319.55</v>
      </c>
      <c r="F21" s="6">
        <f t="shared" si="6"/>
        <v>0</v>
      </c>
      <c r="G21" s="6">
        <f t="shared" si="7"/>
        <v>0</v>
      </c>
      <c r="H21" s="6">
        <f t="shared" si="8"/>
        <v>0</v>
      </c>
      <c r="I21" s="6">
        <f t="shared" si="9"/>
        <v>368056.70103092783</v>
      </c>
      <c r="J21" s="7">
        <f>482400+25000</f>
        <v>507400</v>
      </c>
      <c r="K21" s="6" t="s">
        <v>19</v>
      </c>
      <c r="L21" s="6" t="s">
        <v>34</v>
      </c>
      <c r="M21" s="6" t="s">
        <v>35</v>
      </c>
      <c r="N21" s="6" t="s">
        <v>41</v>
      </c>
      <c r="O21" s="6">
        <v>33</v>
      </c>
      <c r="P21" s="9"/>
    </row>
    <row r="22" spans="1:16" ht="15.75" customHeight="1" x14ac:dyDescent="0.2">
      <c r="A22" s="6">
        <v>11</v>
      </c>
      <c r="B22" s="6" t="s">
        <v>63</v>
      </c>
      <c r="C22" s="6" t="s">
        <v>67</v>
      </c>
      <c r="D22" s="6">
        <v>285500</v>
      </c>
      <c r="E22" s="6">
        <f t="shared" si="5"/>
        <v>485350</v>
      </c>
      <c r="F22" s="6">
        <f t="shared" si="6"/>
        <v>0</v>
      </c>
      <c r="G22" s="6">
        <f t="shared" si="7"/>
        <v>0</v>
      </c>
      <c r="H22" s="6">
        <f t="shared" si="8"/>
        <v>0</v>
      </c>
      <c r="I22" s="6">
        <f t="shared" si="9"/>
        <v>294329.89690721652</v>
      </c>
      <c r="J22" s="7">
        <f>385700+25000</f>
        <v>410700</v>
      </c>
      <c r="K22" s="6" t="s">
        <v>33</v>
      </c>
      <c r="L22" s="6" t="s">
        <v>34</v>
      </c>
      <c r="M22" s="6" t="s">
        <v>35</v>
      </c>
      <c r="N22" s="6" t="s">
        <v>36</v>
      </c>
      <c r="O22" s="6">
        <v>25</v>
      </c>
      <c r="P22" s="8" t="s">
        <v>68</v>
      </c>
    </row>
    <row r="23" spans="1:16" ht="15.75" customHeight="1" x14ac:dyDescent="0.25">
      <c r="A23" s="6">
        <v>12</v>
      </c>
      <c r="B23" s="6" t="s">
        <v>69</v>
      </c>
      <c r="C23" s="6" t="s">
        <v>70</v>
      </c>
      <c r="D23" s="6">
        <v>320150</v>
      </c>
      <c r="E23" s="6">
        <f t="shared" si="5"/>
        <v>544255</v>
      </c>
      <c r="F23" s="6">
        <f t="shared" si="6"/>
        <v>0</v>
      </c>
      <c r="G23" s="6">
        <f t="shared" si="7"/>
        <v>0</v>
      </c>
      <c r="H23" s="6">
        <f t="shared" si="8"/>
        <v>0</v>
      </c>
      <c r="I23" s="6">
        <f t="shared" si="9"/>
        <v>330051.54639175261</v>
      </c>
      <c r="J23" s="7">
        <f>432600+25000</f>
        <v>457600</v>
      </c>
      <c r="K23" s="6" t="s">
        <v>33</v>
      </c>
      <c r="L23" s="6" t="s">
        <v>34</v>
      </c>
      <c r="M23" s="6" t="s">
        <v>35</v>
      </c>
      <c r="N23" s="6" t="s">
        <v>36</v>
      </c>
      <c r="O23" s="6">
        <v>26</v>
      </c>
      <c r="P23" s="10"/>
    </row>
    <row r="24" spans="1:16" ht="15.75" customHeight="1" x14ac:dyDescent="0.2">
      <c r="A24" s="6">
        <v>13</v>
      </c>
      <c r="B24" s="6" t="s">
        <v>71</v>
      </c>
      <c r="C24" s="6" t="s">
        <v>72</v>
      </c>
      <c r="D24" s="6">
        <v>502300</v>
      </c>
      <c r="E24" s="6">
        <f t="shared" si="5"/>
        <v>1406440</v>
      </c>
      <c r="F24" s="6">
        <f t="shared" si="6"/>
        <v>0</v>
      </c>
      <c r="G24" s="6">
        <f t="shared" si="7"/>
        <v>0</v>
      </c>
      <c r="H24" s="6">
        <f t="shared" si="8"/>
        <v>0</v>
      </c>
      <c r="I24" s="6">
        <f t="shared" si="9"/>
        <v>517835.05154639174</v>
      </c>
      <c r="J24" s="7">
        <f>678800+25000</f>
        <v>703800</v>
      </c>
      <c r="K24" s="6" t="s">
        <v>58</v>
      </c>
      <c r="L24" s="6" t="s">
        <v>34</v>
      </c>
      <c r="M24" s="6" t="s">
        <v>35</v>
      </c>
      <c r="N24" s="6" t="s">
        <v>59</v>
      </c>
      <c r="O24" s="6">
        <v>56</v>
      </c>
      <c r="P24" s="8" t="s">
        <v>73</v>
      </c>
    </row>
    <row r="25" spans="1:16" ht="15.75" customHeight="1" x14ac:dyDescent="0.2">
      <c r="A25" s="29" t="s">
        <v>74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1:16" ht="15.75" customHeight="1" x14ac:dyDescent="0.25">
      <c r="A26" s="6">
        <v>14</v>
      </c>
      <c r="B26" s="6" t="s">
        <v>75</v>
      </c>
      <c r="C26" s="6" t="s">
        <v>76</v>
      </c>
      <c r="D26" s="6">
        <v>257000</v>
      </c>
      <c r="E26" s="6">
        <f t="shared" ref="E26:E27" si="10">(D26*K26)+D26</f>
        <v>506290</v>
      </c>
      <c r="F26" s="6">
        <f t="shared" ref="F26:F27" si="11">ROUND(M26,-2)</f>
        <v>0</v>
      </c>
      <c r="G26" s="6">
        <f t="shared" ref="G26:G27" si="12">F26*19%</f>
        <v>0</v>
      </c>
      <c r="H26" s="6">
        <f t="shared" ref="H26:H27" si="13">F26+G26</f>
        <v>0</v>
      </c>
      <c r="I26" s="6">
        <f t="shared" ref="I26:I27" si="14">D26/0.97</f>
        <v>264948.45360824745</v>
      </c>
      <c r="J26" s="7">
        <f>347300+25000</f>
        <v>372300</v>
      </c>
      <c r="K26" s="6" t="s">
        <v>19</v>
      </c>
      <c r="L26" s="6" t="s">
        <v>34</v>
      </c>
      <c r="M26" s="6" t="s">
        <v>35</v>
      </c>
      <c r="N26" s="6" t="s">
        <v>41</v>
      </c>
      <c r="O26" s="6">
        <v>22</v>
      </c>
      <c r="P26" s="10"/>
    </row>
    <row r="27" spans="1:16" ht="15.75" customHeight="1" x14ac:dyDescent="0.25">
      <c r="A27" s="6">
        <v>15</v>
      </c>
      <c r="B27" s="6" t="s">
        <v>77</v>
      </c>
      <c r="C27" s="6" t="s">
        <v>78</v>
      </c>
      <c r="D27" s="6">
        <v>240500</v>
      </c>
      <c r="E27" s="6">
        <f t="shared" si="10"/>
        <v>408850</v>
      </c>
      <c r="F27" s="6">
        <f t="shared" si="11"/>
        <v>0</v>
      </c>
      <c r="G27" s="6">
        <f t="shared" si="12"/>
        <v>0</v>
      </c>
      <c r="H27" s="6">
        <f t="shared" si="13"/>
        <v>0</v>
      </c>
      <c r="I27" s="6">
        <f t="shared" si="14"/>
        <v>247938.14432989692</v>
      </c>
      <c r="J27" s="7">
        <f>325000+25000</f>
        <v>350000</v>
      </c>
      <c r="K27" s="6" t="s">
        <v>33</v>
      </c>
      <c r="L27" s="6" t="s">
        <v>34</v>
      </c>
      <c r="M27" s="6" t="s">
        <v>35</v>
      </c>
      <c r="N27" s="6" t="s">
        <v>36</v>
      </c>
      <c r="O27" s="6">
        <v>17</v>
      </c>
      <c r="P27" s="10"/>
    </row>
    <row r="28" spans="1:16" ht="15.75" customHeight="1" x14ac:dyDescent="0.2">
      <c r="A28" s="29" t="s">
        <v>79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15.75" customHeight="1" x14ac:dyDescent="0.2">
      <c r="A29" s="6">
        <v>18</v>
      </c>
      <c r="B29" s="6" t="s">
        <v>80</v>
      </c>
      <c r="C29" s="6" t="s">
        <v>81</v>
      </c>
      <c r="D29" s="6">
        <v>175500</v>
      </c>
      <c r="E29" s="6">
        <f t="shared" ref="E29:E33" si="15">(D29*K29)+D29</f>
        <v>275535</v>
      </c>
      <c r="F29" s="6">
        <f t="shared" ref="F29:F33" si="16">ROUND(M29,-2)</f>
        <v>0</v>
      </c>
      <c r="G29" s="6">
        <f t="shared" ref="G29:G33" si="17">F29*19%</f>
        <v>0</v>
      </c>
      <c r="H29" s="6">
        <f t="shared" ref="H29:H33" si="18">F29+G29</f>
        <v>0</v>
      </c>
      <c r="I29" s="6">
        <f t="shared" ref="I29:I33" si="19">D29/0.97</f>
        <v>180927.8350515464</v>
      </c>
      <c r="J29" s="7">
        <f>237200+25000</f>
        <v>262200</v>
      </c>
      <c r="K29" s="6" t="s">
        <v>82</v>
      </c>
      <c r="L29" s="6" t="s">
        <v>83</v>
      </c>
      <c r="M29" s="6" t="s">
        <v>35</v>
      </c>
      <c r="N29" s="6" t="s">
        <v>84</v>
      </c>
      <c r="O29" s="6">
        <v>15</v>
      </c>
      <c r="P29" s="26" t="s">
        <v>85</v>
      </c>
    </row>
    <row r="30" spans="1:16" ht="15.75" customHeight="1" x14ac:dyDescent="0.2">
      <c r="A30" s="6"/>
      <c r="B30" s="6"/>
      <c r="C30" s="11" t="s">
        <v>86</v>
      </c>
      <c r="D30" s="6">
        <v>175500</v>
      </c>
      <c r="E30" s="6">
        <f t="shared" si="15"/>
        <v>275535</v>
      </c>
      <c r="F30" s="6">
        <f t="shared" si="16"/>
        <v>0</v>
      </c>
      <c r="G30" s="6">
        <f t="shared" si="17"/>
        <v>0</v>
      </c>
      <c r="H30" s="6">
        <f t="shared" si="18"/>
        <v>0</v>
      </c>
      <c r="I30" s="6">
        <f t="shared" si="19"/>
        <v>180927.8350515464</v>
      </c>
      <c r="J30" s="7">
        <f>J29+45400+5200+5200+25000</f>
        <v>343000</v>
      </c>
      <c r="K30" s="6" t="s">
        <v>82</v>
      </c>
      <c r="L30" s="6" t="s">
        <v>83</v>
      </c>
      <c r="M30" s="6" t="s">
        <v>35</v>
      </c>
      <c r="N30" s="6" t="s">
        <v>84</v>
      </c>
      <c r="O30" s="6"/>
      <c r="P30" s="27"/>
    </row>
    <row r="31" spans="1:16" ht="15.75" customHeight="1" x14ac:dyDescent="0.2">
      <c r="A31" s="6">
        <v>19</v>
      </c>
      <c r="B31" s="6" t="s">
        <v>87</v>
      </c>
      <c r="C31" s="6" t="s">
        <v>88</v>
      </c>
      <c r="D31" s="6">
        <v>175500</v>
      </c>
      <c r="E31" s="6">
        <f t="shared" si="15"/>
        <v>275535</v>
      </c>
      <c r="F31" s="6">
        <f t="shared" si="16"/>
        <v>0</v>
      </c>
      <c r="G31" s="6">
        <f t="shared" si="17"/>
        <v>0</v>
      </c>
      <c r="H31" s="6">
        <f t="shared" si="18"/>
        <v>0</v>
      </c>
      <c r="I31" s="6">
        <f t="shared" si="19"/>
        <v>180927.8350515464</v>
      </c>
      <c r="J31" s="7">
        <f>237200+25000</f>
        <v>262200</v>
      </c>
      <c r="K31" s="6" t="s">
        <v>82</v>
      </c>
      <c r="L31" s="6" t="s">
        <v>20</v>
      </c>
      <c r="M31" s="6" t="s">
        <v>35</v>
      </c>
      <c r="N31" s="6" t="s">
        <v>89</v>
      </c>
      <c r="O31" s="6">
        <v>20</v>
      </c>
      <c r="P31" s="27"/>
    </row>
    <row r="32" spans="1:16" ht="15.75" customHeight="1" x14ac:dyDescent="0.2">
      <c r="A32" s="6"/>
      <c r="B32" s="6"/>
      <c r="C32" s="11" t="s">
        <v>90</v>
      </c>
      <c r="D32" s="6">
        <v>175500</v>
      </c>
      <c r="E32" s="6">
        <f t="shared" si="15"/>
        <v>275535</v>
      </c>
      <c r="F32" s="6">
        <f t="shared" si="16"/>
        <v>0</v>
      </c>
      <c r="G32" s="6">
        <f t="shared" si="17"/>
        <v>0</v>
      </c>
      <c r="H32" s="6">
        <f t="shared" si="18"/>
        <v>0</v>
      </c>
      <c r="I32" s="6">
        <f t="shared" si="19"/>
        <v>180927.8350515464</v>
      </c>
      <c r="J32" s="7">
        <f>J31+45400+5200+5200+25000</f>
        <v>343000</v>
      </c>
      <c r="K32" s="6" t="s">
        <v>82</v>
      </c>
      <c r="L32" s="6" t="s">
        <v>20</v>
      </c>
      <c r="M32" s="6" t="s">
        <v>35</v>
      </c>
      <c r="N32" s="6" t="s">
        <v>89</v>
      </c>
      <c r="O32" s="6"/>
      <c r="P32" s="16"/>
    </row>
    <row r="33" spans="1:16" ht="15.75" customHeight="1" x14ac:dyDescent="0.2">
      <c r="A33" s="6">
        <v>20</v>
      </c>
      <c r="B33" s="6" t="s">
        <v>91</v>
      </c>
      <c r="C33" s="6" t="s">
        <v>92</v>
      </c>
      <c r="D33" s="6">
        <v>220500</v>
      </c>
      <c r="E33" s="6">
        <f t="shared" si="15"/>
        <v>363825</v>
      </c>
      <c r="F33" s="6">
        <f t="shared" si="16"/>
        <v>0</v>
      </c>
      <c r="G33" s="6">
        <f t="shared" si="17"/>
        <v>0</v>
      </c>
      <c r="H33" s="6">
        <f t="shared" si="18"/>
        <v>0</v>
      </c>
      <c r="I33" s="6">
        <f t="shared" si="19"/>
        <v>227319.58762886599</v>
      </c>
      <c r="J33" s="7">
        <f>298000+25000</f>
        <v>323000</v>
      </c>
      <c r="K33" s="6" t="s">
        <v>93</v>
      </c>
      <c r="L33" s="6" t="s">
        <v>83</v>
      </c>
      <c r="M33" s="6" t="s">
        <v>35</v>
      </c>
      <c r="N33" s="6" t="s">
        <v>94</v>
      </c>
      <c r="O33" s="6">
        <v>17</v>
      </c>
      <c r="P33" s="26" t="s">
        <v>95</v>
      </c>
    </row>
    <row r="34" spans="1:16" ht="15.75" customHeight="1" x14ac:dyDescent="0.2">
      <c r="A34" s="6"/>
      <c r="B34" s="6"/>
      <c r="C34" s="11" t="s">
        <v>96</v>
      </c>
      <c r="D34" s="6"/>
      <c r="E34" s="6"/>
      <c r="F34" s="6"/>
      <c r="G34" s="6"/>
      <c r="H34" s="6"/>
      <c r="I34" s="6"/>
      <c r="J34" s="7">
        <f>J33+45400+5200+5200+25000</f>
        <v>403800</v>
      </c>
      <c r="K34" s="6" t="s">
        <v>93</v>
      </c>
      <c r="L34" s="6" t="s">
        <v>83</v>
      </c>
      <c r="M34" s="6" t="s">
        <v>35</v>
      </c>
      <c r="N34" s="6" t="s">
        <v>94</v>
      </c>
      <c r="O34" s="6"/>
      <c r="P34" s="16"/>
    </row>
    <row r="35" spans="1:16" ht="15.75" customHeight="1" x14ac:dyDescent="0.2">
      <c r="A35" s="6">
        <v>21</v>
      </c>
      <c r="B35" s="6" t="s">
        <v>97</v>
      </c>
      <c r="C35" s="6" t="s">
        <v>98</v>
      </c>
      <c r="D35" s="6">
        <v>168900</v>
      </c>
      <c r="E35" s="6">
        <f>(D35*K37)+D35</f>
        <v>287130</v>
      </c>
      <c r="F35" s="6">
        <f>ROUND(M37,-2)</f>
        <v>0</v>
      </c>
      <c r="G35" s="6">
        <f t="shared" ref="G35:G48" si="20">F35*19%</f>
        <v>0</v>
      </c>
      <c r="H35" s="6">
        <f t="shared" ref="H35:H48" si="21">F35+G35</f>
        <v>0</v>
      </c>
      <c r="I35" s="6">
        <f t="shared" ref="I35:I48" si="22">D35/0.97</f>
        <v>174123.71134020618</v>
      </c>
      <c r="J35" s="7">
        <f>228300+25000</f>
        <v>253300</v>
      </c>
      <c r="K35" s="6" t="s">
        <v>33</v>
      </c>
      <c r="L35" s="6" t="s">
        <v>36</v>
      </c>
      <c r="M35" s="6" t="s">
        <v>35</v>
      </c>
      <c r="N35" s="6" t="s">
        <v>84</v>
      </c>
      <c r="O35" s="6">
        <v>16</v>
      </c>
      <c r="P35" s="26" t="s">
        <v>99</v>
      </c>
    </row>
    <row r="36" spans="1:16" ht="15.75" customHeight="1" x14ac:dyDescent="0.25">
      <c r="A36" s="6"/>
      <c r="B36" s="10"/>
      <c r="C36" s="11" t="s">
        <v>100</v>
      </c>
      <c r="D36" s="6">
        <v>168900</v>
      </c>
      <c r="E36" s="6">
        <f>(D36*K39)+D36</f>
        <v>287130</v>
      </c>
      <c r="F36" s="6">
        <f>ROUND(M39,-2)</f>
        <v>0</v>
      </c>
      <c r="G36" s="6">
        <f t="shared" si="20"/>
        <v>0</v>
      </c>
      <c r="H36" s="6">
        <f t="shared" si="21"/>
        <v>0</v>
      </c>
      <c r="I36" s="6">
        <f t="shared" si="22"/>
        <v>174123.71134020618</v>
      </c>
      <c r="J36" s="7">
        <f>J35+45400+5200+5200+25000</f>
        <v>334100</v>
      </c>
      <c r="K36" s="6" t="s">
        <v>33</v>
      </c>
      <c r="L36" s="6" t="s">
        <v>36</v>
      </c>
      <c r="M36" s="6" t="s">
        <v>35</v>
      </c>
      <c r="N36" s="6" t="s">
        <v>84</v>
      </c>
      <c r="O36" s="6"/>
      <c r="P36" s="27"/>
    </row>
    <row r="37" spans="1:16" ht="15.75" customHeight="1" x14ac:dyDescent="0.2">
      <c r="A37" s="6">
        <v>22</v>
      </c>
      <c r="B37" s="6" t="s">
        <v>101</v>
      </c>
      <c r="C37" s="6" t="s">
        <v>102</v>
      </c>
      <c r="D37" s="6">
        <v>187900</v>
      </c>
      <c r="E37" s="6">
        <f>(D37*K39)+D37</f>
        <v>319430</v>
      </c>
      <c r="F37" s="6">
        <f>ROUND(M39,-2)</f>
        <v>0</v>
      </c>
      <c r="G37" s="6">
        <f t="shared" si="20"/>
        <v>0</v>
      </c>
      <c r="H37" s="6">
        <f t="shared" si="21"/>
        <v>0</v>
      </c>
      <c r="I37" s="6">
        <f t="shared" si="22"/>
        <v>193711.34020618556</v>
      </c>
      <c r="J37" s="7">
        <f>254000+25000</f>
        <v>279000</v>
      </c>
      <c r="K37" s="6" t="s">
        <v>33</v>
      </c>
      <c r="L37" s="6" t="s">
        <v>83</v>
      </c>
      <c r="M37" s="6" t="s">
        <v>35</v>
      </c>
      <c r="N37" s="6" t="s">
        <v>94</v>
      </c>
      <c r="O37" s="6">
        <v>17</v>
      </c>
      <c r="P37" s="27"/>
    </row>
    <row r="38" spans="1:16" ht="15.75" customHeight="1" x14ac:dyDescent="0.2">
      <c r="A38" s="6"/>
      <c r="B38" s="6"/>
      <c r="C38" s="11" t="s">
        <v>103</v>
      </c>
      <c r="D38" s="6">
        <v>187900</v>
      </c>
      <c r="E38" s="6">
        <f>(D38*K41)+D38</f>
        <v>319430</v>
      </c>
      <c r="F38" s="6">
        <f>ROUND(M41,-2)</f>
        <v>0</v>
      </c>
      <c r="G38" s="6">
        <f t="shared" si="20"/>
        <v>0</v>
      </c>
      <c r="H38" s="6">
        <f t="shared" si="21"/>
        <v>0</v>
      </c>
      <c r="I38" s="6">
        <f t="shared" si="22"/>
        <v>193711.34020618556</v>
      </c>
      <c r="J38" s="7">
        <f>J37+45400+5200+5200+25000</f>
        <v>359800</v>
      </c>
      <c r="K38" s="6" t="s">
        <v>33</v>
      </c>
      <c r="L38" s="6" t="s">
        <v>83</v>
      </c>
      <c r="M38" s="6" t="s">
        <v>35</v>
      </c>
      <c r="N38" s="6" t="s">
        <v>94</v>
      </c>
      <c r="O38" s="6"/>
      <c r="P38" s="27"/>
    </row>
    <row r="39" spans="1:16" ht="15.75" customHeight="1" x14ac:dyDescent="0.2">
      <c r="A39" s="6">
        <v>23</v>
      </c>
      <c r="B39" s="6" t="s">
        <v>104</v>
      </c>
      <c r="C39" s="6" t="s">
        <v>105</v>
      </c>
      <c r="D39" s="6">
        <v>198800</v>
      </c>
      <c r="E39" s="6">
        <f t="shared" ref="E39:E42" si="23">(D39*K43)+D39</f>
        <v>337960</v>
      </c>
      <c r="F39" s="6">
        <f t="shared" ref="F39:F42" si="24">ROUND(M43,-2)</f>
        <v>0</v>
      </c>
      <c r="G39" s="6">
        <f t="shared" si="20"/>
        <v>0</v>
      </c>
      <c r="H39" s="6">
        <f t="shared" si="21"/>
        <v>0</v>
      </c>
      <c r="I39" s="6">
        <f t="shared" si="22"/>
        <v>204948.45360824742</v>
      </c>
      <c r="J39" s="7">
        <f>268800+25000</f>
        <v>293800</v>
      </c>
      <c r="K39" s="6" t="s">
        <v>33</v>
      </c>
      <c r="L39" s="6" t="s">
        <v>20</v>
      </c>
      <c r="M39" s="6" t="s">
        <v>35</v>
      </c>
      <c r="N39" s="6" t="s">
        <v>106</v>
      </c>
      <c r="O39" s="6">
        <v>22</v>
      </c>
      <c r="P39" s="27"/>
    </row>
    <row r="40" spans="1:16" ht="15.75" customHeight="1" x14ac:dyDescent="0.25">
      <c r="A40" s="10"/>
      <c r="B40" s="10"/>
      <c r="C40" s="11" t="s">
        <v>107</v>
      </c>
      <c r="D40" s="6">
        <v>198800</v>
      </c>
      <c r="E40" s="6">
        <f t="shared" si="23"/>
        <v>337960</v>
      </c>
      <c r="F40" s="6">
        <f t="shared" si="24"/>
        <v>0</v>
      </c>
      <c r="G40" s="6">
        <f t="shared" si="20"/>
        <v>0</v>
      </c>
      <c r="H40" s="6">
        <f t="shared" si="21"/>
        <v>0</v>
      </c>
      <c r="I40" s="6">
        <f t="shared" si="22"/>
        <v>204948.45360824742</v>
      </c>
      <c r="J40" s="7">
        <f>J39+45400+5200+5200+25000</f>
        <v>374600</v>
      </c>
      <c r="K40" s="6" t="s">
        <v>33</v>
      </c>
      <c r="L40" s="6" t="s">
        <v>20</v>
      </c>
      <c r="M40" s="6" t="s">
        <v>35</v>
      </c>
      <c r="N40" s="6" t="s">
        <v>106</v>
      </c>
      <c r="O40" s="10"/>
      <c r="P40" s="16"/>
    </row>
    <row r="41" spans="1:16" ht="15.75" customHeight="1" x14ac:dyDescent="0.2">
      <c r="A41" s="6">
        <v>24</v>
      </c>
      <c r="B41" s="6" t="s">
        <v>108</v>
      </c>
      <c r="C41" s="6" t="s">
        <v>109</v>
      </c>
      <c r="D41" s="6">
        <v>171000</v>
      </c>
      <c r="E41" s="6">
        <f t="shared" si="23"/>
        <v>290700</v>
      </c>
      <c r="F41" s="6">
        <f t="shared" si="24"/>
        <v>0</v>
      </c>
      <c r="G41" s="6">
        <f t="shared" si="20"/>
        <v>0</v>
      </c>
      <c r="H41" s="6">
        <f t="shared" si="21"/>
        <v>0</v>
      </c>
      <c r="I41" s="6">
        <f t="shared" si="22"/>
        <v>176288.65979381444</v>
      </c>
      <c r="J41" s="7">
        <f>227700+25000</f>
        <v>252700</v>
      </c>
      <c r="K41" s="6" t="s">
        <v>33</v>
      </c>
      <c r="L41" s="6" t="s">
        <v>36</v>
      </c>
      <c r="M41" s="6" t="s">
        <v>35</v>
      </c>
      <c r="N41" s="6" t="s">
        <v>84</v>
      </c>
      <c r="O41" s="6">
        <v>16</v>
      </c>
      <c r="P41" s="26" t="s">
        <v>110</v>
      </c>
    </row>
    <row r="42" spans="1:16" ht="15.75" customHeight="1" x14ac:dyDescent="0.2">
      <c r="A42" s="6"/>
      <c r="B42" s="6"/>
      <c r="C42" s="11" t="s">
        <v>111</v>
      </c>
      <c r="D42" s="6">
        <v>171000</v>
      </c>
      <c r="E42" s="6">
        <f t="shared" si="23"/>
        <v>290700</v>
      </c>
      <c r="F42" s="6">
        <f t="shared" si="24"/>
        <v>0</v>
      </c>
      <c r="G42" s="6">
        <f t="shared" si="20"/>
        <v>0</v>
      </c>
      <c r="H42" s="6">
        <f t="shared" si="21"/>
        <v>0</v>
      </c>
      <c r="I42" s="6">
        <f t="shared" si="22"/>
        <v>176288.65979381444</v>
      </c>
      <c r="J42" s="7">
        <f>J41+45400+5200+5200+5200+25000</f>
        <v>338700</v>
      </c>
      <c r="K42" s="6" t="s">
        <v>33</v>
      </c>
      <c r="L42" s="6" t="s">
        <v>36</v>
      </c>
      <c r="M42" s="6" t="s">
        <v>35</v>
      </c>
      <c r="N42" s="6" t="s">
        <v>84</v>
      </c>
      <c r="O42" s="6"/>
      <c r="P42" s="27"/>
    </row>
    <row r="43" spans="1:16" ht="15.75" customHeight="1" x14ac:dyDescent="0.2">
      <c r="A43" s="6">
        <v>25</v>
      </c>
      <c r="B43" s="6" t="s">
        <v>112</v>
      </c>
      <c r="C43" s="6" t="s">
        <v>113</v>
      </c>
      <c r="D43" s="6">
        <v>183000</v>
      </c>
      <c r="E43" s="6">
        <f t="shared" ref="E43:E46" si="25">(D43*K49)+D43</f>
        <v>183000</v>
      </c>
      <c r="F43" s="6">
        <f t="shared" ref="F43:F46" si="26">ROUND(M49,-2)</f>
        <v>0</v>
      </c>
      <c r="G43" s="6">
        <f t="shared" si="20"/>
        <v>0</v>
      </c>
      <c r="H43" s="6">
        <f t="shared" si="21"/>
        <v>0</v>
      </c>
      <c r="I43" s="6">
        <f t="shared" si="22"/>
        <v>188659.79381443298</v>
      </c>
      <c r="J43" s="7">
        <f>243800+25000</f>
        <v>268800</v>
      </c>
      <c r="K43" s="6" t="s">
        <v>33</v>
      </c>
      <c r="L43" s="6" t="s">
        <v>83</v>
      </c>
      <c r="M43" s="6" t="s">
        <v>35</v>
      </c>
      <c r="N43" s="6" t="s">
        <v>94</v>
      </c>
      <c r="O43" s="6">
        <v>17</v>
      </c>
      <c r="P43" s="27"/>
    </row>
    <row r="44" spans="1:16" ht="15.75" customHeight="1" x14ac:dyDescent="0.2">
      <c r="A44" s="6"/>
      <c r="B44" s="6"/>
      <c r="C44" s="11" t="s">
        <v>114</v>
      </c>
      <c r="D44" s="6">
        <v>183000</v>
      </c>
      <c r="E44" s="6">
        <f t="shared" si="25"/>
        <v>188490</v>
      </c>
      <c r="F44" s="6">
        <f t="shared" si="26"/>
        <v>0</v>
      </c>
      <c r="G44" s="6">
        <f t="shared" si="20"/>
        <v>0</v>
      </c>
      <c r="H44" s="6">
        <f t="shared" si="21"/>
        <v>0</v>
      </c>
      <c r="I44" s="6">
        <f t="shared" si="22"/>
        <v>188659.79381443298</v>
      </c>
      <c r="J44" s="7">
        <f>J43+45400+5200+5200+5200+25000</f>
        <v>354800</v>
      </c>
      <c r="K44" s="6" t="s">
        <v>33</v>
      </c>
      <c r="L44" s="6" t="s">
        <v>83</v>
      </c>
      <c r="M44" s="6" t="s">
        <v>35</v>
      </c>
      <c r="N44" s="6" t="s">
        <v>94</v>
      </c>
      <c r="O44" s="6"/>
      <c r="P44" s="27"/>
    </row>
    <row r="45" spans="1:16" ht="15.75" customHeight="1" x14ac:dyDescent="0.2">
      <c r="A45" s="6">
        <v>26</v>
      </c>
      <c r="B45" s="6" t="s">
        <v>115</v>
      </c>
      <c r="C45" s="6" t="s">
        <v>116</v>
      </c>
      <c r="D45" s="6">
        <v>195300</v>
      </c>
      <c r="E45" s="6">
        <f t="shared" si="25"/>
        <v>201159</v>
      </c>
      <c r="F45" s="6">
        <f t="shared" si="26"/>
        <v>0</v>
      </c>
      <c r="G45" s="6">
        <f t="shared" si="20"/>
        <v>0</v>
      </c>
      <c r="H45" s="6">
        <f t="shared" si="21"/>
        <v>0</v>
      </c>
      <c r="I45" s="6">
        <f t="shared" si="22"/>
        <v>201340.20618556702</v>
      </c>
      <c r="J45" s="7">
        <f>260200+25000</f>
        <v>285200</v>
      </c>
      <c r="K45" s="6" t="s">
        <v>33</v>
      </c>
      <c r="L45" s="6" t="s">
        <v>20</v>
      </c>
      <c r="M45" s="6" t="s">
        <v>35</v>
      </c>
      <c r="N45" s="6" t="s">
        <v>106</v>
      </c>
      <c r="O45" s="6">
        <v>22</v>
      </c>
      <c r="P45" s="27"/>
    </row>
    <row r="46" spans="1:16" ht="15.75" customHeight="1" x14ac:dyDescent="0.2">
      <c r="A46" s="6"/>
      <c r="B46" s="6"/>
      <c r="C46" s="11" t="s">
        <v>117</v>
      </c>
      <c r="D46" s="6">
        <v>195300</v>
      </c>
      <c r="E46" s="6">
        <f t="shared" si="25"/>
        <v>585900</v>
      </c>
      <c r="F46" s="6">
        <f t="shared" si="26"/>
        <v>0</v>
      </c>
      <c r="G46" s="6">
        <f t="shared" si="20"/>
        <v>0</v>
      </c>
      <c r="H46" s="6">
        <f t="shared" si="21"/>
        <v>0</v>
      </c>
      <c r="I46" s="6">
        <f t="shared" si="22"/>
        <v>201340.20618556702</v>
      </c>
      <c r="J46" s="7">
        <f>J45+45400+5200+5200+5200+25000</f>
        <v>371200</v>
      </c>
      <c r="K46" s="6" t="s">
        <v>33</v>
      </c>
      <c r="L46" s="6" t="s">
        <v>20</v>
      </c>
      <c r="M46" s="6" t="s">
        <v>35</v>
      </c>
      <c r="N46" s="6" t="s">
        <v>106</v>
      </c>
      <c r="O46" s="6"/>
      <c r="P46" s="16"/>
    </row>
    <row r="47" spans="1:16" ht="15.75" customHeight="1" x14ac:dyDescent="0.2">
      <c r="A47" s="6">
        <v>27</v>
      </c>
      <c r="B47" s="6" t="s">
        <v>118</v>
      </c>
      <c r="C47" s="6" t="s">
        <v>119</v>
      </c>
      <c r="D47" s="6">
        <v>274700</v>
      </c>
      <c r="E47" s="6">
        <f t="shared" ref="E47:E48" si="27">(D47*K52)+D47</f>
        <v>824100</v>
      </c>
      <c r="F47" s="6">
        <f t="shared" ref="F47:F48" si="28">ROUND(M52,-2)</f>
        <v>0</v>
      </c>
      <c r="G47" s="6">
        <f t="shared" si="20"/>
        <v>0</v>
      </c>
      <c r="H47" s="6">
        <f t="shared" si="21"/>
        <v>0</v>
      </c>
      <c r="I47" s="6">
        <f t="shared" si="22"/>
        <v>283195.87628865981</v>
      </c>
      <c r="J47" s="7">
        <f>371300+25000</f>
        <v>396300</v>
      </c>
      <c r="K47" s="6" t="s">
        <v>93</v>
      </c>
      <c r="L47" s="6" t="s">
        <v>34</v>
      </c>
      <c r="M47" s="6" t="s">
        <v>35</v>
      </c>
      <c r="N47" s="6" t="s">
        <v>120</v>
      </c>
      <c r="O47" s="6">
        <v>32</v>
      </c>
      <c r="P47" s="26" t="s">
        <v>121</v>
      </c>
    </row>
    <row r="48" spans="1:16" ht="15.75" customHeight="1" x14ac:dyDescent="0.2">
      <c r="A48" s="6"/>
      <c r="B48" s="6"/>
      <c r="C48" s="11" t="s">
        <v>122</v>
      </c>
      <c r="D48" s="6">
        <v>274700</v>
      </c>
      <c r="E48" s="6">
        <f t="shared" si="27"/>
        <v>933980</v>
      </c>
      <c r="F48" s="6">
        <f t="shared" si="28"/>
        <v>0</v>
      </c>
      <c r="G48" s="6">
        <f t="shared" si="20"/>
        <v>0</v>
      </c>
      <c r="H48" s="6">
        <f t="shared" si="21"/>
        <v>0</v>
      </c>
      <c r="I48" s="6">
        <f t="shared" si="22"/>
        <v>283195.87628865981</v>
      </c>
      <c r="J48" s="7">
        <f>J47+45400+5200+5200+5200+25000</f>
        <v>482300</v>
      </c>
      <c r="K48" s="6" t="s">
        <v>93</v>
      </c>
      <c r="L48" s="6" t="s">
        <v>34</v>
      </c>
      <c r="M48" s="6" t="s">
        <v>35</v>
      </c>
      <c r="N48" s="6" t="s">
        <v>120</v>
      </c>
      <c r="O48" s="6"/>
      <c r="P48" s="16"/>
    </row>
    <row r="49" spans="1:16" ht="15.75" customHeight="1" x14ac:dyDescent="0.2">
      <c r="A49" s="30" t="s">
        <v>123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</row>
    <row r="50" spans="1:16" ht="15.75" customHeight="1" x14ac:dyDescent="0.2">
      <c r="A50" s="6">
        <v>28</v>
      </c>
      <c r="B50" s="6" t="s">
        <v>124</v>
      </c>
      <c r="C50" s="6" t="s">
        <v>125</v>
      </c>
      <c r="D50" s="6">
        <v>17100</v>
      </c>
      <c r="E50" s="6">
        <v>22000</v>
      </c>
      <c r="F50" s="6">
        <f t="shared" ref="F50:F53" si="29">ROUND(M51,-2)</f>
        <v>0</v>
      </c>
      <c r="G50" s="6">
        <f t="shared" ref="G50:G53" si="30">F50*19%</f>
        <v>0</v>
      </c>
      <c r="H50" s="6">
        <f t="shared" ref="H50:H53" si="31">F50+G50</f>
        <v>0</v>
      </c>
      <c r="I50" s="6">
        <f t="shared" ref="I50:I53" si="32">D50/0.97</f>
        <v>17628.865979381444</v>
      </c>
      <c r="J50" s="7">
        <f>28700+20000</f>
        <v>48700</v>
      </c>
      <c r="K50" s="6" t="s">
        <v>126</v>
      </c>
      <c r="L50" s="6" t="s">
        <v>127</v>
      </c>
      <c r="M50" s="6" t="s">
        <v>36</v>
      </c>
      <c r="N50" s="6">
        <v>8</v>
      </c>
      <c r="O50" s="6">
        <v>3</v>
      </c>
      <c r="P50" s="26" t="s">
        <v>128</v>
      </c>
    </row>
    <row r="51" spans="1:16" ht="15.75" customHeight="1" x14ac:dyDescent="0.2">
      <c r="A51" s="6">
        <v>29</v>
      </c>
      <c r="B51" s="6" t="s">
        <v>129</v>
      </c>
      <c r="C51" s="6" t="s">
        <v>130</v>
      </c>
      <c r="D51" s="6">
        <v>22000</v>
      </c>
      <c r="E51" s="6">
        <v>27400</v>
      </c>
      <c r="F51" s="6">
        <f t="shared" si="29"/>
        <v>0</v>
      </c>
      <c r="G51" s="6">
        <f t="shared" si="30"/>
        <v>0</v>
      </c>
      <c r="H51" s="6">
        <f t="shared" si="31"/>
        <v>0</v>
      </c>
      <c r="I51" s="6">
        <f t="shared" si="32"/>
        <v>22680.412371134022</v>
      </c>
      <c r="J51" s="12">
        <f>35600+20000</f>
        <v>55600</v>
      </c>
      <c r="K51" s="6" t="s">
        <v>126</v>
      </c>
      <c r="L51" s="6" t="s">
        <v>127</v>
      </c>
      <c r="M51" s="6" t="s">
        <v>131</v>
      </c>
      <c r="N51" s="6">
        <v>11</v>
      </c>
      <c r="O51" s="6">
        <v>4</v>
      </c>
      <c r="P51" s="27"/>
    </row>
    <row r="52" spans="1:16" ht="15.75" customHeight="1" x14ac:dyDescent="0.2">
      <c r="A52" s="6">
        <v>30</v>
      </c>
      <c r="B52" s="6" t="s">
        <v>132</v>
      </c>
      <c r="C52" s="6" t="s">
        <v>133</v>
      </c>
      <c r="D52" s="6">
        <v>14700</v>
      </c>
      <c r="E52" s="6">
        <v>16700</v>
      </c>
      <c r="F52" s="6">
        <f t="shared" si="29"/>
        <v>0</v>
      </c>
      <c r="G52" s="6">
        <f t="shared" si="30"/>
        <v>0</v>
      </c>
      <c r="H52" s="6">
        <f t="shared" si="31"/>
        <v>0</v>
      </c>
      <c r="I52" s="6">
        <f t="shared" si="32"/>
        <v>15154.639175257733</v>
      </c>
      <c r="J52" s="7">
        <f>21700+20000</f>
        <v>41700</v>
      </c>
      <c r="K52" s="6" t="s">
        <v>134</v>
      </c>
      <c r="L52" s="6" t="s">
        <v>135</v>
      </c>
      <c r="M52" s="6" t="s">
        <v>135</v>
      </c>
      <c r="N52" s="6">
        <v>5</v>
      </c>
      <c r="O52" s="6">
        <v>2</v>
      </c>
      <c r="P52" s="27"/>
    </row>
    <row r="53" spans="1:16" ht="15.75" customHeight="1" x14ac:dyDescent="0.2">
      <c r="A53" s="6">
        <v>31</v>
      </c>
      <c r="B53" s="6" t="s">
        <v>136</v>
      </c>
      <c r="C53" s="6" t="s">
        <v>137</v>
      </c>
      <c r="D53" s="6">
        <v>18000</v>
      </c>
      <c r="E53" s="6">
        <v>20400</v>
      </c>
      <c r="F53" s="6">
        <f t="shared" si="29"/>
        <v>0</v>
      </c>
      <c r="G53" s="6">
        <f t="shared" si="30"/>
        <v>0</v>
      </c>
      <c r="H53" s="6">
        <f t="shared" si="31"/>
        <v>0</v>
      </c>
      <c r="I53" s="6">
        <f t="shared" si="32"/>
        <v>18556.701030927834</v>
      </c>
      <c r="J53" s="7">
        <f>26600+20000</f>
        <v>46600</v>
      </c>
      <c r="K53" s="6" t="s">
        <v>138</v>
      </c>
      <c r="L53" s="6" t="s">
        <v>135</v>
      </c>
      <c r="M53" s="6" t="s">
        <v>135</v>
      </c>
      <c r="N53" s="6">
        <v>6</v>
      </c>
      <c r="O53" s="6">
        <v>3</v>
      </c>
      <c r="P53" s="16"/>
    </row>
    <row r="54" spans="1:16" ht="15.75" customHeight="1" x14ac:dyDescent="0.2">
      <c r="A54" s="30" t="s">
        <v>139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</row>
    <row r="55" spans="1:16" ht="15.75" customHeight="1" x14ac:dyDescent="0.2">
      <c r="A55" s="6">
        <v>32</v>
      </c>
      <c r="B55" s="6" t="s">
        <v>140</v>
      </c>
      <c r="C55" s="6" t="s">
        <v>141</v>
      </c>
      <c r="D55" s="6">
        <v>697600</v>
      </c>
      <c r="E55" s="6">
        <f t="shared" ref="E55:E57" si="33">(D55*K56)+D55</f>
        <v>2023040</v>
      </c>
      <c r="F55" s="6">
        <f t="shared" ref="F55:F57" si="34">ROUND(M56,-2)</f>
        <v>0</v>
      </c>
      <c r="G55" s="6">
        <f t="shared" ref="G55:G57" si="35">F55*19%</f>
        <v>0</v>
      </c>
      <c r="H55" s="6">
        <f t="shared" ref="H55:H57" si="36">F55+G55</f>
        <v>0</v>
      </c>
      <c r="I55" s="6">
        <f t="shared" ref="I55:I57" si="37">D55/0.97</f>
        <v>719175.25773195876</v>
      </c>
      <c r="J55" s="7">
        <f>942600+25000</f>
        <v>967600</v>
      </c>
      <c r="K55" s="6" t="s">
        <v>142</v>
      </c>
      <c r="L55" s="6" t="s">
        <v>143</v>
      </c>
      <c r="M55" s="6" t="s">
        <v>144</v>
      </c>
      <c r="N55" s="6" t="s">
        <v>145</v>
      </c>
      <c r="O55" s="6">
        <v>74</v>
      </c>
      <c r="P55" s="26" t="s">
        <v>146</v>
      </c>
    </row>
    <row r="56" spans="1:16" ht="15.75" customHeight="1" x14ac:dyDescent="0.2">
      <c r="A56" s="6">
        <v>33</v>
      </c>
      <c r="B56" s="6" t="s">
        <v>147</v>
      </c>
      <c r="C56" s="6" t="s">
        <v>148</v>
      </c>
      <c r="D56" s="6">
        <v>791000</v>
      </c>
      <c r="E56" s="6">
        <f t="shared" si="33"/>
        <v>2452100</v>
      </c>
      <c r="F56" s="6">
        <f t="shared" si="34"/>
        <v>0</v>
      </c>
      <c r="G56" s="6">
        <f t="shared" si="35"/>
        <v>0</v>
      </c>
      <c r="H56" s="6">
        <f t="shared" si="36"/>
        <v>0</v>
      </c>
      <c r="I56" s="6">
        <f t="shared" si="37"/>
        <v>815463.91752577317</v>
      </c>
      <c r="J56" s="7">
        <f>1068800+25000</f>
        <v>1093800</v>
      </c>
      <c r="K56" s="6" t="s">
        <v>149</v>
      </c>
      <c r="L56" s="6" t="s">
        <v>143</v>
      </c>
      <c r="M56" s="6" t="s">
        <v>144</v>
      </c>
      <c r="N56" s="6" t="s">
        <v>127</v>
      </c>
      <c r="O56" s="6">
        <v>89</v>
      </c>
      <c r="P56" s="27"/>
    </row>
    <row r="57" spans="1:16" ht="15.75" customHeight="1" x14ac:dyDescent="0.2">
      <c r="A57" s="6">
        <v>34</v>
      </c>
      <c r="B57" s="6" t="s">
        <v>150</v>
      </c>
      <c r="C57" s="6" t="s">
        <v>151</v>
      </c>
      <c r="D57" s="6">
        <v>855500</v>
      </c>
      <c r="E57" s="6">
        <f t="shared" si="33"/>
        <v>855500</v>
      </c>
      <c r="F57" s="6">
        <f t="shared" si="34"/>
        <v>0</v>
      </c>
      <c r="G57" s="6">
        <f t="shared" si="35"/>
        <v>0</v>
      </c>
      <c r="H57" s="6">
        <f t="shared" si="36"/>
        <v>0</v>
      </c>
      <c r="I57" s="6">
        <f t="shared" si="37"/>
        <v>881958.76288659801</v>
      </c>
      <c r="J57" s="7">
        <f>1156000+25000</f>
        <v>1181000</v>
      </c>
      <c r="K57" s="6" t="s">
        <v>152</v>
      </c>
      <c r="L57" s="6" t="s">
        <v>143</v>
      </c>
      <c r="M57" s="6" t="s">
        <v>144</v>
      </c>
      <c r="N57" s="6" t="s">
        <v>153</v>
      </c>
      <c r="O57" s="6">
        <v>100</v>
      </c>
      <c r="P57" s="16"/>
    </row>
    <row r="58" spans="1:16" ht="15.75" customHeight="1" x14ac:dyDescent="0.2">
      <c r="A58" s="30" t="s">
        <v>154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</row>
    <row r="59" spans="1:16" ht="15.75" customHeight="1" x14ac:dyDescent="0.2">
      <c r="A59" s="6">
        <v>35</v>
      </c>
      <c r="B59" s="6" t="s">
        <v>155</v>
      </c>
      <c r="C59" s="6" t="s">
        <v>156</v>
      </c>
      <c r="D59" s="6">
        <v>156400</v>
      </c>
      <c r="E59" s="6">
        <f>(D59*K62)+D59</f>
        <v>226780</v>
      </c>
      <c r="F59" s="6">
        <f>ROUND(M62,-2)</f>
        <v>0</v>
      </c>
      <c r="G59" s="6">
        <f>F59*19%</f>
        <v>0</v>
      </c>
      <c r="H59" s="6">
        <f>F59+G59</f>
        <v>0</v>
      </c>
      <c r="I59" s="6">
        <f>D59/0.97</f>
        <v>161237.11340206186</v>
      </c>
      <c r="J59" s="12">
        <v>203300</v>
      </c>
      <c r="K59" s="6" t="s">
        <v>157</v>
      </c>
      <c r="L59" s="6" t="s">
        <v>21</v>
      </c>
      <c r="M59" s="6" t="s">
        <v>158</v>
      </c>
      <c r="N59" s="6" t="s">
        <v>159</v>
      </c>
      <c r="O59" s="6">
        <v>9</v>
      </c>
      <c r="P59" s="26" t="s">
        <v>160</v>
      </c>
    </row>
    <row r="60" spans="1:16" ht="15.75" customHeight="1" x14ac:dyDescent="0.2">
      <c r="A60" s="6"/>
      <c r="B60" s="6"/>
      <c r="C60" s="6" t="s">
        <v>161</v>
      </c>
      <c r="D60" s="6"/>
      <c r="E60" s="6"/>
      <c r="F60" s="6"/>
      <c r="G60" s="6"/>
      <c r="H60" s="6"/>
      <c r="I60" s="6"/>
      <c r="J60" s="7">
        <f>J59+5200+25000+36300</f>
        <v>269800</v>
      </c>
      <c r="K60" s="6" t="s">
        <v>157</v>
      </c>
      <c r="L60" s="6" t="s">
        <v>21</v>
      </c>
      <c r="M60" s="6" t="s">
        <v>158</v>
      </c>
      <c r="N60" s="6" t="s">
        <v>159</v>
      </c>
      <c r="O60" s="6"/>
      <c r="P60" s="27"/>
    </row>
    <row r="61" spans="1:16" ht="15.75" customHeight="1" x14ac:dyDescent="0.2">
      <c r="A61" s="6"/>
      <c r="B61" s="6"/>
      <c r="C61" s="6" t="s">
        <v>162</v>
      </c>
      <c r="D61" s="6"/>
      <c r="E61" s="6"/>
      <c r="F61" s="6"/>
      <c r="G61" s="6"/>
      <c r="H61" s="6"/>
      <c r="I61" s="6"/>
      <c r="J61" s="7">
        <f>J59+25000+15900</f>
        <v>244200</v>
      </c>
      <c r="K61" s="6" t="s">
        <v>157</v>
      </c>
      <c r="L61" s="6" t="s">
        <v>21</v>
      </c>
      <c r="M61" s="6" t="s">
        <v>158</v>
      </c>
      <c r="N61" s="6" t="s">
        <v>159</v>
      </c>
      <c r="O61" s="6"/>
      <c r="P61" s="27"/>
    </row>
    <row r="62" spans="1:16" ht="15.75" customHeight="1" x14ac:dyDescent="0.2">
      <c r="A62" s="6">
        <v>36</v>
      </c>
      <c r="B62" s="6" t="s">
        <v>163</v>
      </c>
      <c r="C62" s="6" t="s">
        <v>164</v>
      </c>
      <c r="D62" s="6">
        <v>173000</v>
      </c>
      <c r="E62" s="6">
        <f>(D62*K66)+D62</f>
        <v>484400</v>
      </c>
      <c r="F62" s="6">
        <f>ROUND(M66,-2)</f>
        <v>0</v>
      </c>
      <c r="G62" s="6">
        <f>F62*19%</f>
        <v>0</v>
      </c>
      <c r="H62" s="6">
        <f>F62+G62</f>
        <v>0</v>
      </c>
      <c r="I62" s="6">
        <f>D62/0.97</f>
        <v>178350.51546391752</v>
      </c>
      <c r="J62" s="12">
        <v>224800</v>
      </c>
      <c r="K62" s="6" t="s">
        <v>157</v>
      </c>
      <c r="L62" s="6" t="s">
        <v>34</v>
      </c>
      <c r="M62" s="6" t="s">
        <v>158</v>
      </c>
      <c r="N62" s="6" t="s">
        <v>165</v>
      </c>
      <c r="O62" s="6">
        <v>12</v>
      </c>
      <c r="P62" s="27"/>
    </row>
    <row r="63" spans="1:16" ht="15.75" customHeight="1" x14ac:dyDescent="0.2">
      <c r="A63" s="13"/>
      <c r="B63" s="13"/>
      <c r="C63" s="6" t="s">
        <v>166</v>
      </c>
      <c r="D63" s="6"/>
      <c r="E63" s="6"/>
      <c r="F63" s="6"/>
      <c r="G63" s="6"/>
      <c r="H63" s="6"/>
      <c r="I63" s="6"/>
      <c r="J63" s="7">
        <f>J62+25000+55900+5200</f>
        <v>310900</v>
      </c>
      <c r="K63" s="6" t="s">
        <v>157</v>
      </c>
      <c r="L63" s="6" t="s">
        <v>34</v>
      </c>
      <c r="M63" s="6" t="s">
        <v>158</v>
      </c>
      <c r="N63" s="6" t="s">
        <v>165</v>
      </c>
      <c r="O63" s="13"/>
      <c r="P63" s="27"/>
    </row>
    <row r="64" spans="1:16" ht="15.75" customHeight="1" x14ac:dyDescent="0.2">
      <c r="A64" s="13"/>
      <c r="B64" s="13"/>
      <c r="C64" s="11" t="s">
        <v>167</v>
      </c>
      <c r="D64" s="13"/>
      <c r="E64" s="13"/>
      <c r="F64" s="13"/>
      <c r="G64" s="13"/>
      <c r="H64" s="13"/>
      <c r="I64" s="13"/>
      <c r="J64" s="7">
        <f>J62+23000+25000</f>
        <v>272800</v>
      </c>
      <c r="K64" s="6" t="s">
        <v>157</v>
      </c>
      <c r="L64" s="6" t="s">
        <v>34</v>
      </c>
      <c r="M64" s="6" t="s">
        <v>158</v>
      </c>
      <c r="N64" s="6" t="s">
        <v>165</v>
      </c>
      <c r="O64" s="13"/>
      <c r="P64" s="16"/>
    </row>
    <row r="65" spans="1:16" ht="15.75" customHeight="1" x14ac:dyDescent="0.2">
      <c r="A65" s="30" t="s">
        <v>168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</row>
    <row r="66" spans="1:16" ht="15.75" customHeight="1" x14ac:dyDescent="0.2">
      <c r="A66" s="6">
        <v>37</v>
      </c>
      <c r="B66" s="6" t="s">
        <v>169</v>
      </c>
      <c r="C66" s="6" t="s">
        <v>170</v>
      </c>
      <c r="D66" s="6">
        <v>146700</v>
      </c>
      <c r="E66" s="6">
        <f t="shared" ref="E66:E71" si="38">(D66*K67)+D66</f>
        <v>410760</v>
      </c>
      <c r="F66" s="6">
        <f t="shared" ref="F66:F71" si="39">ROUND(M67,-2)</f>
        <v>0</v>
      </c>
      <c r="G66" s="6">
        <f t="shared" ref="G66:G72" si="40">F66*19%</f>
        <v>0</v>
      </c>
      <c r="H66" s="6">
        <f t="shared" ref="H66:H72" si="41">F66+G66</f>
        <v>0</v>
      </c>
      <c r="I66" s="6">
        <f t="shared" ref="I66:I72" si="42">D66/0.97</f>
        <v>151237.11340206186</v>
      </c>
      <c r="J66" s="7">
        <f t="shared" ref="J66:J67" si="43">205900+25000</f>
        <v>230900</v>
      </c>
      <c r="K66" s="6" t="s">
        <v>58</v>
      </c>
      <c r="L66" s="6" t="s">
        <v>171</v>
      </c>
      <c r="M66" s="6" t="s">
        <v>36</v>
      </c>
      <c r="N66" s="6" t="s">
        <v>172</v>
      </c>
      <c r="O66" s="6">
        <v>17</v>
      </c>
      <c r="P66" s="14" t="s">
        <v>173</v>
      </c>
    </row>
    <row r="67" spans="1:16" ht="15.75" customHeight="1" x14ac:dyDescent="0.2">
      <c r="A67" s="6">
        <v>38</v>
      </c>
      <c r="B67" s="6" t="s">
        <v>174</v>
      </c>
      <c r="C67" s="6" t="s">
        <v>175</v>
      </c>
      <c r="D67" s="6">
        <v>146700</v>
      </c>
      <c r="E67" s="6">
        <f t="shared" si="38"/>
        <v>410760</v>
      </c>
      <c r="F67" s="6">
        <f t="shared" si="39"/>
        <v>0</v>
      </c>
      <c r="G67" s="6">
        <f t="shared" si="40"/>
        <v>0</v>
      </c>
      <c r="H67" s="6">
        <f t="shared" si="41"/>
        <v>0</v>
      </c>
      <c r="I67" s="6">
        <f t="shared" si="42"/>
        <v>151237.11340206186</v>
      </c>
      <c r="J67" s="7">
        <f t="shared" si="43"/>
        <v>230900</v>
      </c>
      <c r="K67" s="6" t="s">
        <v>58</v>
      </c>
      <c r="L67" s="6" t="s">
        <v>171</v>
      </c>
      <c r="M67" s="6" t="s">
        <v>36</v>
      </c>
      <c r="N67" s="6" t="s">
        <v>172</v>
      </c>
      <c r="O67" s="6">
        <v>17</v>
      </c>
      <c r="P67" s="14" t="s">
        <v>176</v>
      </c>
    </row>
    <row r="68" spans="1:16" ht="15.75" customHeight="1" x14ac:dyDescent="0.2">
      <c r="A68" s="6">
        <v>39</v>
      </c>
      <c r="B68" s="6" t="s">
        <v>177</v>
      </c>
      <c r="C68" s="6" t="s">
        <v>178</v>
      </c>
      <c r="D68" s="6">
        <v>246900</v>
      </c>
      <c r="E68" s="6">
        <f t="shared" si="38"/>
        <v>691320</v>
      </c>
      <c r="F68" s="6">
        <f t="shared" si="39"/>
        <v>0</v>
      </c>
      <c r="G68" s="6">
        <f t="shared" si="40"/>
        <v>0</v>
      </c>
      <c r="H68" s="6">
        <f t="shared" si="41"/>
        <v>0</v>
      </c>
      <c r="I68" s="6">
        <f t="shared" si="42"/>
        <v>254536.0824742268</v>
      </c>
      <c r="J68" s="7">
        <f>346600+25000</f>
        <v>371600</v>
      </c>
      <c r="K68" s="6" t="s">
        <v>58</v>
      </c>
      <c r="L68" s="6" t="s">
        <v>21</v>
      </c>
      <c r="M68" s="6" t="s">
        <v>36</v>
      </c>
      <c r="N68" s="6" t="s">
        <v>179</v>
      </c>
      <c r="O68" s="6">
        <v>31</v>
      </c>
      <c r="P68" s="26" t="s">
        <v>180</v>
      </c>
    </row>
    <row r="69" spans="1:16" ht="15.75" customHeight="1" x14ac:dyDescent="0.2">
      <c r="A69" s="6">
        <v>40</v>
      </c>
      <c r="B69" s="6" t="s">
        <v>181</v>
      </c>
      <c r="C69" s="6" t="s">
        <v>182</v>
      </c>
      <c r="D69" s="6">
        <v>334200</v>
      </c>
      <c r="E69" s="6">
        <f t="shared" si="38"/>
        <v>1002600</v>
      </c>
      <c r="F69" s="6">
        <f t="shared" si="39"/>
        <v>0</v>
      </c>
      <c r="G69" s="6">
        <f t="shared" si="40"/>
        <v>0</v>
      </c>
      <c r="H69" s="6">
        <f t="shared" si="41"/>
        <v>0</v>
      </c>
      <c r="I69" s="6">
        <f t="shared" si="42"/>
        <v>344536.08247422683</v>
      </c>
      <c r="J69" s="7">
        <f>469000+25000</f>
        <v>494000</v>
      </c>
      <c r="K69" s="6" t="s">
        <v>58</v>
      </c>
      <c r="L69" s="6" t="s">
        <v>34</v>
      </c>
      <c r="M69" s="6" t="s">
        <v>36</v>
      </c>
      <c r="N69" s="6" t="s">
        <v>183</v>
      </c>
      <c r="O69" s="6">
        <v>43</v>
      </c>
      <c r="P69" s="16"/>
    </row>
    <row r="70" spans="1:16" ht="15.75" customHeight="1" x14ac:dyDescent="0.2">
      <c r="A70" s="6">
        <v>41</v>
      </c>
      <c r="B70" s="6" t="s">
        <v>184</v>
      </c>
      <c r="C70" s="6" t="s">
        <v>185</v>
      </c>
      <c r="D70" s="6">
        <v>440700</v>
      </c>
      <c r="E70" s="6">
        <f t="shared" si="38"/>
        <v>1322100</v>
      </c>
      <c r="F70" s="6">
        <f t="shared" si="39"/>
        <v>0</v>
      </c>
      <c r="G70" s="6">
        <f t="shared" si="40"/>
        <v>0</v>
      </c>
      <c r="H70" s="6">
        <f t="shared" si="41"/>
        <v>0</v>
      </c>
      <c r="I70" s="6">
        <f t="shared" si="42"/>
        <v>454329.89690721652</v>
      </c>
      <c r="J70" s="12">
        <f>618400+25000</f>
        <v>643400</v>
      </c>
      <c r="K70" s="6" t="s">
        <v>134</v>
      </c>
      <c r="L70" s="6" t="s">
        <v>34</v>
      </c>
      <c r="M70" s="6" t="s">
        <v>36</v>
      </c>
      <c r="N70" s="6" t="s">
        <v>46</v>
      </c>
      <c r="O70" s="6">
        <v>53</v>
      </c>
      <c r="P70" s="26" t="s">
        <v>186</v>
      </c>
    </row>
    <row r="71" spans="1:16" ht="15.75" customHeight="1" x14ac:dyDescent="0.2">
      <c r="A71" s="6">
        <v>42</v>
      </c>
      <c r="B71" s="6" t="s">
        <v>187</v>
      </c>
      <c r="C71" s="6" t="s">
        <v>188</v>
      </c>
      <c r="D71" s="6">
        <v>417200</v>
      </c>
      <c r="E71" s="6">
        <f t="shared" si="38"/>
        <v>1251600</v>
      </c>
      <c r="F71" s="6">
        <f t="shared" si="39"/>
        <v>0</v>
      </c>
      <c r="G71" s="6">
        <f t="shared" si="40"/>
        <v>0</v>
      </c>
      <c r="H71" s="6">
        <f t="shared" si="41"/>
        <v>0</v>
      </c>
      <c r="I71" s="6">
        <f t="shared" si="42"/>
        <v>430103.09278350516</v>
      </c>
      <c r="J71" s="7">
        <f>563700+25000</f>
        <v>588700</v>
      </c>
      <c r="K71" s="6" t="s">
        <v>134</v>
      </c>
      <c r="L71" s="6" t="s">
        <v>34</v>
      </c>
      <c r="M71" s="6" t="s">
        <v>36</v>
      </c>
      <c r="N71" s="6" t="s">
        <v>46</v>
      </c>
      <c r="O71" s="6">
        <v>50</v>
      </c>
      <c r="P71" s="16"/>
    </row>
    <row r="72" spans="1:16" ht="15.75" customHeight="1" x14ac:dyDescent="0.2">
      <c r="A72" s="6">
        <v>43</v>
      </c>
      <c r="B72" s="6" t="s">
        <v>189</v>
      </c>
      <c r="C72" s="6" t="s">
        <v>190</v>
      </c>
      <c r="D72" s="6">
        <v>490300</v>
      </c>
      <c r="E72" s="6" t="e">
        <f>(D72*#REF!)+D72</f>
        <v>#REF!</v>
      </c>
      <c r="F72" s="6" t="e">
        <f>ROUND(#REF!,-2)</f>
        <v>#REF!</v>
      </c>
      <c r="G72" s="6" t="e">
        <f t="shared" si="40"/>
        <v>#REF!</v>
      </c>
      <c r="H72" s="6" t="e">
        <f t="shared" si="41"/>
        <v>#REF!</v>
      </c>
      <c r="I72" s="6">
        <f t="shared" si="42"/>
        <v>505463.91752577323</v>
      </c>
      <c r="J72" s="7">
        <f>688000+25000</f>
        <v>713000</v>
      </c>
      <c r="K72" s="6" t="s">
        <v>134</v>
      </c>
      <c r="L72" s="6" t="s">
        <v>34</v>
      </c>
      <c r="M72" s="6" t="s">
        <v>36</v>
      </c>
      <c r="N72" s="6" t="s">
        <v>46</v>
      </c>
      <c r="O72" s="6">
        <v>76</v>
      </c>
      <c r="P72" s="14" t="s">
        <v>191</v>
      </c>
    </row>
    <row r="73" spans="1:16" ht="15.75" customHeight="1" x14ac:dyDescent="0.2"/>
    <row r="74" spans="1:16" ht="15.75" customHeight="1" x14ac:dyDescent="0.2"/>
    <row r="75" spans="1:16" ht="15.75" customHeight="1" x14ac:dyDescent="0.2"/>
    <row r="76" spans="1:16" ht="15.75" customHeight="1" x14ac:dyDescent="0.2"/>
    <row r="77" spans="1:16" ht="15.75" customHeight="1" x14ac:dyDescent="0.2"/>
    <row r="78" spans="1:16" ht="15.75" customHeight="1" x14ac:dyDescent="0.2"/>
    <row r="79" spans="1:16" ht="15.75" customHeight="1" x14ac:dyDescent="0.2"/>
    <row r="80" spans="1:1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6">
    <mergeCell ref="A4:P4"/>
    <mergeCell ref="A17:P17"/>
    <mergeCell ref="A25:P25"/>
    <mergeCell ref="A28:P28"/>
    <mergeCell ref="A49:P49"/>
    <mergeCell ref="P55:P57"/>
    <mergeCell ref="P59:P64"/>
    <mergeCell ref="P68:P69"/>
    <mergeCell ref="P70:P71"/>
    <mergeCell ref="P15:P16"/>
    <mergeCell ref="P29:P32"/>
    <mergeCell ref="P33:P34"/>
    <mergeCell ref="P35:P40"/>
    <mergeCell ref="P41:P46"/>
    <mergeCell ref="P47:P48"/>
    <mergeCell ref="P50:P53"/>
    <mergeCell ref="A54:P54"/>
    <mergeCell ref="A58:P58"/>
    <mergeCell ref="A65:P65"/>
    <mergeCell ref="P5:P6"/>
    <mergeCell ref="P7:P8"/>
    <mergeCell ref="P9:P10"/>
    <mergeCell ref="P11:P12"/>
    <mergeCell ref="P13:P14"/>
    <mergeCell ref="L2:L3"/>
    <mergeCell ref="M2:M3"/>
    <mergeCell ref="A1:P1"/>
    <mergeCell ref="A2:A3"/>
    <mergeCell ref="B2:B3"/>
    <mergeCell ref="C2:C3"/>
    <mergeCell ref="I2:J3"/>
    <mergeCell ref="K2:K3"/>
    <mergeCell ref="P2:P3"/>
    <mergeCell ref="N2:N3"/>
    <mergeCell ref="O2:O3"/>
    <mergeCell ref="D2:H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Santi Y David</cp:lastModifiedBy>
  <dcterms:created xsi:type="dcterms:W3CDTF">2020-08-20T17:51:14Z</dcterms:created>
  <dcterms:modified xsi:type="dcterms:W3CDTF">2020-10-22T17:06:25Z</dcterms:modified>
</cp:coreProperties>
</file>